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1\Home$\Hyamyalyajnen.O\Desktop\Работа\ИНФО на сайт\2022\"/>
    </mc:Choice>
  </mc:AlternateContent>
  <bookViews>
    <workbookView xWindow="0" yWindow="0" windowWidth="28800" windowHeight="14235" activeTab="6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</sheets>
  <definedNames>
    <definedName name="asda" localSheetId="3">#REF!</definedName>
    <definedName name="asda" localSheetId="6">#REF!</definedName>
    <definedName name="asda" localSheetId="5">#REF!</definedName>
    <definedName name="asda" localSheetId="4">#REF!</definedName>
    <definedName name="asda" localSheetId="2">#REF!</definedName>
    <definedName name="asda" localSheetId="1">#REF!</definedName>
    <definedName name="asda" localSheetId="0">#REF!</definedName>
    <definedName name="asda">#REF!</definedName>
    <definedName name="l" localSheetId="3">#REF!</definedName>
    <definedName name="l" localSheetId="6">#REF!</definedName>
    <definedName name="l" localSheetId="5">#REF!</definedName>
    <definedName name="l" localSheetId="4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_xlnm.Database" localSheetId="3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рп" localSheetId="3">#REF!</definedName>
    <definedName name="рп" localSheetId="6">#REF!</definedName>
    <definedName name="рп" localSheetId="5">#REF!</definedName>
    <definedName name="рп" localSheetId="4">#REF!</definedName>
    <definedName name="рп" localSheetId="2">#REF!</definedName>
    <definedName name="рп" localSheetId="1">#REF!</definedName>
    <definedName name="рп" localSheetId="0">#REF!</definedName>
    <definedName name="рп">#REF!</definedName>
    <definedName name="сент" localSheetId="3">#REF!</definedName>
    <definedName name="сент" localSheetId="6">#REF!</definedName>
    <definedName name="сент" localSheetId="5">#REF!</definedName>
    <definedName name="сент" localSheetId="4">#REF!</definedName>
    <definedName name="сент" localSheetId="2">#REF!</definedName>
    <definedName name="сент" localSheetId="1">#REF!</definedName>
    <definedName name="сент" localSheetId="0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F7" i="7"/>
  <c r="E7" i="7"/>
  <c r="C7" i="7"/>
  <c r="F19" i="7" l="1"/>
  <c r="F20" i="7"/>
  <c r="G12" i="7" l="1"/>
  <c r="G6" i="7"/>
  <c r="B11" i="7"/>
  <c r="D9" i="7"/>
  <c r="B10" i="7"/>
  <c r="B8" i="7"/>
  <c r="B7" i="7"/>
  <c r="B26" i="7"/>
  <c r="B25" i="7"/>
  <c r="G24" i="7"/>
  <c r="F24" i="7"/>
  <c r="E24" i="7"/>
  <c r="B24" i="7" s="1"/>
  <c r="B23" i="7"/>
  <c r="B22" i="7"/>
  <c r="G21" i="7"/>
  <c r="F21" i="7"/>
  <c r="E21" i="7"/>
  <c r="B21" i="7" s="1"/>
  <c r="B20" i="7"/>
  <c r="B19" i="7"/>
  <c r="G18" i="7"/>
  <c r="F18" i="7"/>
  <c r="E18" i="7"/>
  <c r="D18" i="7"/>
  <c r="C18" i="7"/>
  <c r="B18" i="7"/>
  <c r="B17" i="7"/>
  <c r="B16" i="7"/>
  <c r="G15" i="7"/>
  <c r="F15" i="7"/>
  <c r="E15" i="7"/>
  <c r="D15" i="7"/>
  <c r="C15" i="7"/>
  <c r="B15" i="7"/>
  <c r="B14" i="7"/>
  <c r="B13" i="7"/>
  <c r="F12" i="7"/>
  <c r="E12" i="7"/>
  <c r="G9" i="7"/>
  <c r="F9" i="7"/>
  <c r="E9" i="7"/>
  <c r="F6" i="7"/>
  <c r="E6" i="7"/>
  <c r="D6" i="7"/>
  <c r="B12" i="7" l="1"/>
  <c r="C9" i="7"/>
  <c r="B9" i="7" s="1"/>
  <c r="C6" i="7"/>
  <c r="B6" i="7" s="1"/>
  <c r="J6" i="6"/>
  <c r="K6" i="6"/>
  <c r="C7" i="6"/>
  <c r="E7" i="6"/>
  <c r="F7" i="6"/>
  <c r="F8" i="6"/>
  <c r="G21" i="6" l="1"/>
  <c r="G18" i="6"/>
  <c r="B19" i="6"/>
  <c r="C18" i="6"/>
  <c r="B18" i="6" s="1"/>
  <c r="D18" i="6"/>
  <c r="B13" i="6"/>
  <c r="B11" i="6"/>
  <c r="B10" i="6"/>
  <c r="B7" i="6"/>
  <c r="B26" i="6"/>
  <c r="B25" i="6"/>
  <c r="G24" i="6"/>
  <c r="F24" i="6"/>
  <c r="E24" i="6"/>
  <c r="B24" i="6" s="1"/>
  <c r="B23" i="6"/>
  <c r="B22" i="6"/>
  <c r="F21" i="6"/>
  <c r="E21" i="6"/>
  <c r="B20" i="6"/>
  <c r="F18" i="6"/>
  <c r="E18" i="6"/>
  <c r="B17" i="6"/>
  <c r="B16" i="6"/>
  <c r="G15" i="6"/>
  <c r="F15" i="6"/>
  <c r="E15" i="6"/>
  <c r="B15" i="6" s="1"/>
  <c r="D15" i="6"/>
  <c r="C15" i="6"/>
  <c r="B14" i="6"/>
  <c r="G12" i="6"/>
  <c r="F12" i="6"/>
  <c r="E12" i="6"/>
  <c r="F9" i="6"/>
  <c r="E9" i="6"/>
  <c r="D9" i="6"/>
  <c r="C9" i="6"/>
  <c r="B8" i="6"/>
  <c r="E6" i="6"/>
  <c r="G6" i="6"/>
  <c r="F6" i="6"/>
  <c r="D6" i="6"/>
  <c r="C6" i="6"/>
  <c r="B21" i="6" l="1"/>
  <c r="G9" i="6"/>
  <c r="B12" i="6"/>
  <c r="B9" i="6"/>
  <c r="B6" i="6"/>
  <c r="F8" i="5"/>
  <c r="F7" i="5"/>
  <c r="E7" i="5"/>
  <c r="C7" i="5"/>
  <c r="G18" i="5" l="1"/>
  <c r="B17" i="5"/>
  <c r="B16" i="5"/>
  <c r="B14" i="5"/>
  <c r="E12" i="5"/>
  <c r="B13" i="5"/>
  <c r="B11" i="5"/>
  <c r="C9" i="5"/>
  <c r="B8" i="5"/>
  <c r="F6" i="5"/>
  <c r="B26" i="5"/>
  <c r="B25" i="5"/>
  <c r="G24" i="5"/>
  <c r="F24" i="5"/>
  <c r="E24" i="5"/>
  <c r="B23" i="5"/>
  <c r="B22" i="5"/>
  <c r="G21" i="5"/>
  <c r="F21" i="5"/>
  <c r="E21" i="5"/>
  <c r="B20" i="5"/>
  <c r="B19" i="5"/>
  <c r="F18" i="5"/>
  <c r="E18" i="5"/>
  <c r="D18" i="5"/>
  <c r="B18" i="5" s="1"/>
  <c r="C18" i="5"/>
  <c r="F15" i="5"/>
  <c r="E15" i="5"/>
  <c r="D15" i="5"/>
  <c r="C15" i="5"/>
  <c r="G12" i="5"/>
  <c r="F12" i="5"/>
  <c r="B10" i="5"/>
  <c r="G9" i="5"/>
  <c r="F9" i="5"/>
  <c r="E9" i="5"/>
  <c r="D9" i="5"/>
  <c r="E6" i="5"/>
  <c r="D6" i="5"/>
  <c r="C6" i="5"/>
  <c r="B9" i="5" l="1"/>
  <c r="B21" i="5"/>
  <c r="B12" i="5"/>
  <c r="G15" i="5"/>
  <c r="G6" i="5"/>
  <c r="B24" i="5"/>
  <c r="B15" i="5"/>
  <c r="B6" i="5"/>
  <c r="B7" i="5"/>
  <c r="C7" i="4"/>
  <c r="E7" i="4"/>
  <c r="F7" i="4"/>
  <c r="F8" i="4"/>
  <c r="B26" i="4" l="1"/>
  <c r="B25" i="4"/>
  <c r="B23" i="4"/>
  <c r="B22" i="4"/>
  <c r="D18" i="4"/>
  <c r="B19" i="4"/>
  <c r="B17" i="4"/>
  <c r="C15" i="4"/>
  <c r="B14" i="4"/>
  <c r="B13" i="4"/>
  <c r="B11" i="4"/>
  <c r="D6" i="4"/>
  <c r="B8" i="4"/>
  <c r="G24" i="4"/>
  <c r="F24" i="4"/>
  <c r="E24" i="4"/>
  <c r="B24" i="4" s="1"/>
  <c r="G21" i="4"/>
  <c r="F21" i="4"/>
  <c r="E21" i="4"/>
  <c r="B21" i="4"/>
  <c r="B20" i="4"/>
  <c r="G18" i="4"/>
  <c r="F18" i="4"/>
  <c r="E18" i="4"/>
  <c r="B16" i="4"/>
  <c r="G15" i="4"/>
  <c r="F15" i="4"/>
  <c r="E15" i="4"/>
  <c r="D15" i="4"/>
  <c r="G12" i="4"/>
  <c r="F12" i="4"/>
  <c r="E12" i="4"/>
  <c r="G9" i="4"/>
  <c r="F9" i="4"/>
  <c r="E9" i="4"/>
  <c r="D9" i="4"/>
  <c r="F6" i="4"/>
  <c r="G6" i="4"/>
  <c r="E6" i="4"/>
  <c r="B12" i="4" l="1"/>
  <c r="C18" i="4"/>
  <c r="B18" i="4" s="1"/>
  <c r="B15" i="4"/>
  <c r="C9" i="4"/>
  <c r="B9" i="4" s="1"/>
  <c r="B10" i="4"/>
  <c r="C6" i="4"/>
  <c r="B6" i="4"/>
  <c r="B7" i="4"/>
  <c r="F8" i="3" l="1"/>
  <c r="F7" i="3"/>
  <c r="E7" i="3"/>
  <c r="C7" i="3"/>
  <c r="G21" i="3" l="1"/>
  <c r="G18" i="3"/>
  <c r="B26" i="3"/>
  <c r="B25" i="3"/>
  <c r="G24" i="3"/>
  <c r="F24" i="3"/>
  <c r="B24" i="3" s="1"/>
  <c r="E24" i="3"/>
  <c r="B23" i="3"/>
  <c r="B22" i="3"/>
  <c r="F21" i="3"/>
  <c r="E21" i="3"/>
  <c r="B21" i="3" s="1"/>
  <c r="B20" i="3"/>
  <c r="B19" i="3"/>
  <c r="F18" i="3"/>
  <c r="E18" i="3"/>
  <c r="B18" i="3" s="1"/>
  <c r="D18" i="3"/>
  <c r="C18" i="3"/>
  <c r="B17" i="3"/>
  <c r="B16" i="3"/>
  <c r="G15" i="3"/>
  <c r="F15" i="3"/>
  <c r="E15" i="3"/>
  <c r="D15" i="3"/>
  <c r="C15" i="3"/>
  <c r="B14" i="3"/>
  <c r="B13" i="3"/>
  <c r="G12" i="3"/>
  <c r="F12" i="3"/>
  <c r="E12" i="3"/>
  <c r="B11" i="3"/>
  <c r="B10" i="3"/>
  <c r="G9" i="3"/>
  <c r="F9" i="3"/>
  <c r="E9" i="3"/>
  <c r="D9" i="3"/>
  <c r="C9" i="3"/>
  <c r="B8" i="3"/>
  <c r="B7" i="3"/>
  <c r="F6" i="3"/>
  <c r="E6" i="3"/>
  <c r="D6" i="3"/>
  <c r="C6" i="3"/>
  <c r="G6" i="3" l="1"/>
  <c r="B15" i="3"/>
  <c r="B6" i="3"/>
  <c r="B12" i="3"/>
  <c r="B9" i="3"/>
  <c r="K6" i="2"/>
  <c r="J6" i="2"/>
  <c r="F8" i="2"/>
  <c r="F7" i="2"/>
  <c r="E7" i="2"/>
  <c r="C7" i="2"/>
  <c r="G21" i="2" l="1"/>
  <c r="G12" i="2"/>
  <c r="B26" i="2"/>
  <c r="B25" i="2"/>
  <c r="G24" i="2"/>
  <c r="F24" i="2"/>
  <c r="E24" i="2"/>
  <c r="B23" i="2"/>
  <c r="B22" i="2"/>
  <c r="F21" i="2"/>
  <c r="E21" i="2"/>
  <c r="B21" i="2" s="1"/>
  <c r="B20" i="2"/>
  <c r="B19" i="2"/>
  <c r="G18" i="2"/>
  <c r="F18" i="2"/>
  <c r="E18" i="2"/>
  <c r="B18" i="2" s="1"/>
  <c r="D18" i="2"/>
  <c r="C18" i="2"/>
  <c r="B17" i="2"/>
  <c r="B16" i="2"/>
  <c r="F15" i="2"/>
  <c r="E15" i="2"/>
  <c r="B15" i="2" s="1"/>
  <c r="D15" i="2"/>
  <c r="C15" i="2"/>
  <c r="B14" i="2"/>
  <c r="B13" i="2"/>
  <c r="F12" i="2"/>
  <c r="B12" i="2" s="1"/>
  <c r="E12" i="2"/>
  <c r="B11" i="2"/>
  <c r="B10" i="2"/>
  <c r="F9" i="2"/>
  <c r="E9" i="2"/>
  <c r="D9" i="2"/>
  <c r="C9" i="2"/>
  <c r="B8" i="2"/>
  <c r="E6" i="2"/>
  <c r="B7" i="2"/>
  <c r="F6" i="2"/>
  <c r="D6" i="2"/>
  <c r="C6" i="2"/>
  <c r="G15" i="2" l="1"/>
  <c r="G9" i="2"/>
  <c r="G6" i="2"/>
  <c r="B24" i="2"/>
  <c r="B9" i="2"/>
  <c r="B6" i="2"/>
  <c r="F8" i="1"/>
  <c r="C7" i="1"/>
  <c r="E7" i="1"/>
  <c r="F7" i="1"/>
  <c r="J6" i="1"/>
  <c r="K6" i="1"/>
  <c r="B26" i="1" l="1"/>
  <c r="B25" i="1"/>
  <c r="G24" i="1"/>
  <c r="F24" i="1"/>
  <c r="B24" i="1" s="1"/>
  <c r="E24" i="1"/>
  <c r="B23" i="1"/>
  <c r="B22" i="1"/>
  <c r="G21" i="1"/>
  <c r="F21" i="1"/>
  <c r="E21" i="1"/>
  <c r="B20" i="1"/>
  <c r="B19" i="1"/>
  <c r="G18" i="1"/>
  <c r="F18" i="1"/>
  <c r="E18" i="1"/>
  <c r="D18" i="1"/>
  <c r="C18" i="1"/>
  <c r="B17" i="1"/>
  <c r="B16" i="1"/>
  <c r="G15" i="1"/>
  <c r="F15" i="1"/>
  <c r="E15" i="1"/>
  <c r="D15" i="1"/>
  <c r="C15" i="1"/>
  <c r="B14" i="1"/>
  <c r="B13" i="1"/>
  <c r="G12" i="1"/>
  <c r="F12" i="1"/>
  <c r="E12" i="1"/>
  <c r="B12" i="1" s="1"/>
  <c r="B11" i="1"/>
  <c r="B10" i="1"/>
  <c r="F9" i="1"/>
  <c r="E9" i="1"/>
  <c r="D9" i="1"/>
  <c r="C9" i="1"/>
  <c r="B8" i="1"/>
  <c r="B7" i="1"/>
  <c r="F6" i="1"/>
  <c r="E6" i="1"/>
  <c r="D6" i="1"/>
  <c r="C6" i="1"/>
  <c r="B21" i="1" l="1"/>
  <c r="B9" i="1"/>
  <c r="G9" i="1"/>
  <c r="G6" i="1"/>
  <c r="B18" i="1"/>
  <c r="B15" i="1"/>
  <c r="B6" i="1"/>
</calcChain>
</file>

<file path=xl/sharedStrings.xml><?xml version="1.0" encoding="utf-8"?>
<sst xmlns="http://schemas.openxmlformats.org/spreadsheetml/2006/main" count="252" uniqueCount="25">
  <si>
    <t>Ленинградская область</t>
  </si>
  <si>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</si>
  <si>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</si>
  <si>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</si>
  <si>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</si>
  <si>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</si>
  <si>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</si>
  <si>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</si>
  <si>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</si>
  <si>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ОАО "Ленинградская областная управляющая электросетевая компания"</t>
  </si>
  <si>
    <t>"Прочие потребители"</t>
  </si>
  <si>
    <t>"Население и потребители, приравненные к населению"</t>
  </si>
  <si>
    <t>МП "Всеволожское предприятие электрических сетей"</t>
  </si>
  <si>
    <t>ООО "ЛЕНСЕТЬ"</t>
  </si>
  <si>
    <t>ООО "Линк Электро"</t>
  </si>
  <si>
    <t>ОАО"ОБОРОНЭНЕРГО"</t>
  </si>
  <si>
    <t>ООО "Сетевое предприятие "Росэнерго"</t>
  </si>
  <si>
    <t>ООО "Северо-Западная Электростевая Компания"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</si>
  <si>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</si>
  <si>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</si>
  <si>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</si>
  <si>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</si>
  <si>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май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</si>
  <si>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июнь 2022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</si>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</sst>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#,##0.000_ ;[Red]\-#,##0.000\ "/>
    <numFmt numFmtId="166" formatCode="#,##0.000"/>
    <numFmt numFmtId="167" formatCode="0.000"/>
    <numFmt numFmtId="168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 applyFill="0" applyBorder="0" applyAlignment="0" applyProtection="0">
      <alignment horizontal="left"/>
    </xf>
    <xf numFmtId="0" fontId="7" fillId="0" borderId="0"/>
    <xf numFmtId="168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vertical="top"/>
    </xf>
    <xf numFmtId="164" fontId="3" fillId="0" borderId="14" xfId="1" applyNumberFormat="1" applyFont="1" applyFill="1" applyBorder="1" applyAlignment="1">
      <alignment horizontal="right"/>
    </xf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165" fontId="3" fillId="0" borderId="18" xfId="1" applyNumberFormat="1" applyFont="1" applyFill="1" applyBorder="1"/>
    <xf numFmtId="166" fontId="3" fillId="0" borderId="15" xfId="1" applyNumberFormat="1" applyFont="1" applyFill="1" applyBorder="1"/>
    <xf numFmtId="166" fontId="3" fillId="0" borderId="16" xfId="1" applyNumberFormat="1" applyFont="1" applyFill="1" applyBorder="1"/>
    <xf numFmtId="166" fontId="4" fillId="0" borderId="16" xfId="0" applyNumberFormat="1" applyFont="1" applyBorder="1"/>
    <xf numFmtId="0" fontId="5" fillId="0" borderId="19" xfId="1" applyFont="1" applyFill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3" fontId="6" fillId="0" borderId="21" xfId="0" applyNumberFormat="1" applyFont="1" applyBorder="1"/>
    <xf numFmtId="164" fontId="5" fillId="0" borderId="22" xfId="1" applyNumberFormat="1" applyFont="1" applyFill="1" applyBorder="1"/>
    <xf numFmtId="164" fontId="5" fillId="0" borderId="20" xfId="1" applyNumberFormat="1" applyFont="1" applyFill="1" applyBorder="1"/>
    <xf numFmtId="164" fontId="5" fillId="0" borderId="21" xfId="1" applyNumberFormat="1" applyFont="1" applyFill="1" applyBorder="1"/>
    <xf numFmtId="0" fontId="0" fillId="0" borderId="21" xfId="0" applyBorder="1"/>
    <xf numFmtId="164" fontId="5" fillId="0" borderId="23" xfId="1" applyNumberFormat="1" applyFont="1" applyFill="1" applyBorder="1"/>
    <xf numFmtId="164" fontId="5" fillId="0" borderId="24" xfId="1" applyNumberFormat="1" applyFont="1" applyFill="1" applyBorder="1" applyAlignment="1">
      <alignment horizontal="right"/>
    </xf>
    <xf numFmtId="3" fontId="5" fillId="0" borderId="25" xfId="1" applyNumberFormat="1" applyFont="1" applyFill="1" applyBorder="1"/>
    <xf numFmtId="3" fontId="5" fillId="0" borderId="26" xfId="1" applyNumberFormat="1" applyFont="1" applyFill="1" applyBorder="1"/>
    <xf numFmtId="164" fontId="5" fillId="0" borderId="25" xfId="1" applyNumberFormat="1" applyFont="1" applyFill="1" applyBorder="1"/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164" fontId="3" fillId="0" borderId="28" xfId="1" applyNumberFormat="1" applyFont="1" applyFill="1" applyBorder="1" applyAlignment="1">
      <alignment horizontal="right"/>
    </xf>
    <xf numFmtId="3" fontId="3" fillId="0" borderId="29" xfId="1" applyNumberFormat="1" applyFont="1" applyFill="1" applyBorder="1"/>
    <xf numFmtId="3" fontId="3" fillId="0" borderId="16" xfId="1" applyNumberFormat="1" applyFont="1" applyFill="1" applyBorder="1"/>
    <xf numFmtId="3" fontId="3" fillId="0" borderId="17" xfId="1" applyNumberFormat="1" applyFont="1" applyFill="1" applyBorder="1"/>
    <xf numFmtId="167" fontId="3" fillId="0" borderId="16" xfId="1" applyNumberFormat="1" applyFont="1" applyFill="1" applyBorder="1"/>
    <xf numFmtId="167" fontId="3" fillId="0" borderId="17" xfId="1" applyNumberFormat="1" applyFont="1" applyFill="1" applyBorder="1"/>
    <xf numFmtId="3" fontId="6" fillId="0" borderId="20" xfId="0" applyNumberFormat="1" applyFont="1" applyBorder="1"/>
    <xf numFmtId="3" fontId="5" fillId="0" borderId="21" xfId="1" applyNumberFormat="1" applyFont="1" applyFill="1" applyBorder="1"/>
    <xf numFmtId="3" fontId="5" fillId="0" borderId="23" xfId="1" applyNumberFormat="1" applyFont="1" applyFill="1" applyBorder="1"/>
    <xf numFmtId="164" fontId="5" fillId="0" borderId="19" xfId="1" applyNumberFormat="1" applyFont="1" applyFill="1" applyBorder="1"/>
    <xf numFmtId="164" fontId="5" fillId="0" borderId="24" xfId="1" applyNumberFormat="1" applyFont="1" applyFill="1" applyBorder="1"/>
    <xf numFmtId="1" fontId="6" fillId="0" borderId="21" xfId="0" applyNumberFormat="1" applyFont="1" applyBorder="1"/>
    <xf numFmtId="1" fontId="5" fillId="0" borderId="21" xfId="1" applyNumberFormat="1" applyFont="1" applyFill="1" applyBorder="1"/>
    <xf numFmtId="1" fontId="5" fillId="0" borderId="23" xfId="1" applyNumberFormat="1" applyFont="1" applyFill="1" applyBorder="1"/>
    <xf numFmtId="1" fontId="5" fillId="0" borderId="26" xfId="1" applyNumberFormat="1" applyFont="1" applyFill="1" applyBorder="1"/>
    <xf numFmtId="3" fontId="5" fillId="0" borderId="27" xfId="1" applyNumberFormat="1" applyFont="1" applyFill="1" applyBorder="1"/>
    <xf numFmtId="164" fontId="5" fillId="0" borderId="30" xfId="1" applyNumberFormat="1" applyFont="1" applyFill="1" applyBorder="1" applyAlignment="1">
      <alignment horizontal="right"/>
    </xf>
    <xf numFmtId="3" fontId="6" fillId="0" borderId="31" xfId="0" applyNumberFormat="1" applyFont="1" applyBorder="1"/>
    <xf numFmtId="164" fontId="5" fillId="0" borderId="32" xfId="1" applyNumberFormat="1" applyFont="1" applyFill="1" applyBorder="1" applyAlignment="1">
      <alignment horizontal="right"/>
    </xf>
    <xf numFmtId="3" fontId="5" fillId="0" borderId="33" xfId="1" applyNumberFormat="1" applyFont="1" applyFill="1" applyBorder="1"/>
    <xf numFmtId="3" fontId="3" fillId="0" borderId="15" xfId="1" applyNumberFormat="1" applyFont="1" applyFill="1" applyBorder="1"/>
    <xf numFmtId="167" fontId="3" fillId="0" borderId="15" xfId="1" applyNumberFormat="1" applyFont="1" applyFill="1" applyBorder="1"/>
    <xf numFmtId="0" fontId="5" fillId="0" borderId="30" xfId="1" applyFont="1" applyFill="1" applyBorder="1" applyAlignment="1">
      <alignment horizontal="right"/>
    </xf>
    <xf numFmtId="0" fontId="5" fillId="0" borderId="32" xfId="1" applyFont="1" applyFill="1" applyBorder="1" applyAlignment="1">
      <alignment horizontal="right"/>
    </xf>
    <xf numFmtId="3" fontId="10" fillId="0" borderId="21" xfId="1" applyNumberFormat="1" applyFont="1" applyFill="1" applyBorder="1"/>
    <xf numFmtId="3" fontId="10" fillId="0" borderId="23" xfId="1" applyNumberFormat="1" applyFont="1" applyFill="1" applyBorder="1"/>
    <xf numFmtId="3" fontId="10" fillId="0" borderId="27" xfId="1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Border="1"/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3" fontId="10" fillId="0" borderId="26" xfId="0" applyNumberFormat="1" applyFont="1" applyBorder="1"/>
    <xf numFmtId="164" fontId="0" fillId="0" borderId="0" xfId="0" applyNumberFormat="1"/>
    <xf numFmtId="3" fontId="10" fillId="0" borderId="23" xfId="0" applyNumberFormat="1" applyFont="1" applyBorder="1"/>
    <xf numFmtId="3" fontId="10" fillId="0" borderId="27" xfId="0" applyNumberFormat="1" applyFont="1" applyBorder="1"/>
    <xf numFmtId="167" fontId="3" fillId="0" borderId="34" xfId="1" applyNumberFormat="1" applyFont="1" applyFill="1" applyBorder="1"/>
    <xf numFmtId="0" fontId="3" fillId="2" borderId="28" xfId="1" applyFont="1" applyFill="1" applyBorder="1" applyAlignment="1">
      <alignment vertical="top"/>
    </xf>
    <xf numFmtId="0" fontId="5" fillId="2" borderId="19" xfId="1" applyFont="1" applyFill="1" applyBorder="1" applyAlignment="1">
      <alignment horizontal="right"/>
    </xf>
    <xf numFmtId="0" fontId="3" fillId="2" borderId="14" xfId="1" applyFont="1" applyFill="1" applyBorder="1" applyAlignment="1">
      <alignment vertical="top"/>
    </xf>
    <xf numFmtId="166" fontId="4" fillId="0" borderId="17" xfId="0" applyNumberFormat="1" applyFont="1" applyBorder="1"/>
    <xf numFmtId="0" fontId="5" fillId="2" borderId="30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13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M11" sqref="M1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249840199</v>
      </c>
      <c r="C6" s="10">
        <f>C7+C8</f>
        <v>4385704</v>
      </c>
      <c r="D6" s="11">
        <f>D7+D8</f>
        <v>676848</v>
      </c>
      <c r="E6" s="11">
        <f>E7+E8</f>
        <v>105991643</v>
      </c>
      <c r="F6" s="12">
        <f>F7+F8</f>
        <v>138786004</v>
      </c>
      <c r="G6" s="13">
        <f>SUM(H6:K6)</f>
        <v>28.220630000000003</v>
      </c>
      <c r="H6" s="14">
        <v>0.46899999999999997</v>
      </c>
      <c r="I6" s="15"/>
      <c r="J6" s="16">
        <f>22.174237+0.024</f>
        <v>22.198237000000002</v>
      </c>
      <c r="K6" s="70">
        <f>5.513393+0.04</f>
        <v>5.5533929999999998</v>
      </c>
    </row>
    <row r="7" spans="1:11" x14ac:dyDescent="0.25">
      <c r="A7" s="17" t="s">
        <v>10</v>
      </c>
      <c r="B7" s="18">
        <f t="shared" si="0"/>
        <v>131780462</v>
      </c>
      <c r="C7" s="58">
        <f>4334080+51624</f>
        <v>4385704</v>
      </c>
      <c r="D7" s="59">
        <v>676848</v>
      </c>
      <c r="E7" s="59">
        <f>89428038+1391065</f>
        <v>90819103</v>
      </c>
      <c r="F7" s="64">
        <f>35417520+481287</f>
        <v>35898807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118059737</v>
      </c>
      <c r="C8" s="60">
        <v>0</v>
      </c>
      <c r="D8" s="61">
        <v>0</v>
      </c>
      <c r="E8" s="62">
        <v>15172540</v>
      </c>
      <c r="F8" s="65">
        <f>100776548+2110649</f>
        <v>102887197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27978679</v>
      </c>
      <c r="C9" s="32">
        <f>C10+C11</f>
        <v>0</v>
      </c>
      <c r="D9" s="33">
        <f>D10+D11</f>
        <v>0</v>
      </c>
      <c r="E9" s="33">
        <f>E10+E11</f>
        <v>12155119</v>
      </c>
      <c r="F9" s="34">
        <f>F10+F11</f>
        <v>15823560</v>
      </c>
      <c r="G9" s="13">
        <f>SUM(H9:K9)</f>
        <v>4.6711159999999996</v>
      </c>
      <c r="H9" s="10"/>
      <c r="I9" s="11"/>
      <c r="J9" s="66">
        <v>4.3811159999999996</v>
      </c>
      <c r="K9" s="36">
        <v>0.28999999999999998</v>
      </c>
    </row>
    <row r="10" spans="1:11" x14ac:dyDescent="0.25">
      <c r="A10" s="68" t="s">
        <v>10</v>
      </c>
      <c r="B10" s="18">
        <f t="shared" si="0"/>
        <v>13044160</v>
      </c>
      <c r="C10" s="37">
        <v>0</v>
      </c>
      <c r="D10" s="19">
        <v>0</v>
      </c>
      <c r="E10" s="55">
        <v>9845235</v>
      </c>
      <c r="F10" s="56">
        <v>3198925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14934519</v>
      </c>
      <c r="C11" s="26">
        <v>0</v>
      </c>
      <c r="D11" s="27">
        <v>0</v>
      </c>
      <c r="E11" s="55">
        <v>2309884</v>
      </c>
      <c r="F11" s="56">
        <v>12624635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171364</v>
      </c>
      <c r="C12" s="10"/>
      <c r="D12" s="11"/>
      <c r="E12" s="33">
        <f>E13+E14</f>
        <v>147880</v>
      </c>
      <c r="F12" s="34">
        <f>F13+F14</f>
        <v>23484</v>
      </c>
      <c r="G12" s="13">
        <f>SUM(H12:K12)</f>
        <v>0.22900000000000001</v>
      </c>
      <c r="H12" s="10"/>
      <c r="I12" s="11"/>
      <c r="J12" s="35">
        <v>0.22900000000000001</v>
      </c>
      <c r="K12" s="36"/>
    </row>
    <row r="13" spans="1:11" x14ac:dyDescent="0.25">
      <c r="A13" s="68" t="s">
        <v>10</v>
      </c>
      <c r="B13" s="18">
        <f t="shared" si="0"/>
        <v>147880</v>
      </c>
      <c r="C13" s="37">
        <v>0</v>
      </c>
      <c r="D13" s="42">
        <v>0</v>
      </c>
      <c r="E13" s="43">
        <v>147880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23484</v>
      </c>
      <c r="C14" s="26">
        <v>0</v>
      </c>
      <c r="D14" s="45">
        <v>0</v>
      </c>
      <c r="E14" s="45">
        <v>0</v>
      </c>
      <c r="F14" s="57">
        <v>23484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96214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65393</v>
      </c>
      <c r="G15" s="13">
        <f>SUM(H15:K15)</f>
        <v>0.14700000000000002</v>
      </c>
      <c r="H15" s="10"/>
      <c r="I15" s="11"/>
      <c r="J15" s="35">
        <v>4.8000000000000001E-2</v>
      </c>
      <c r="K15" s="36">
        <v>9.9000000000000005E-2</v>
      </c>
    </row>
    <row r="16" spans="1:11" x14ac:dyDescent="0.25">
      <c r="A16" s="68" t="s">
        <v>10</v>
      </c>
      <c r="B16" s="47">
        <f t="shared" si="0"/>
        <v>96214</v>
      </c>
      <c r="C16" s="48">
        <v>0</v>
      </c>
      <c r="D16" s="19">
        <v>0</v>
      </c>
      <c r="E16" s="55">
        <v>30821</v>
      </c>
      <c r="F16" s="56">
        <v>65393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412751</v>
      </c>
      <c r="C18" s="32">
        <f>C19+C20</f>
        <v>0</v>
      </c>
      <c r="D18" s="33">
        <f>D19+D20</f>
        <v>0</v>
      </c>
      <c r="E18" s="33">
        <f>E19+E20</f>
        <v>56869</v>
      </c>
      <c r="F18" s="34">
        <f>F19+F20</f>
        <v>355882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8" t="s">
        <v>10</v>
      </c>
      <c r="B19" s="47">
        <f t="shared" si="0"/>
        <v>262223</v>
      </c>
      <c r="C19" s="48">
        <v>0</v>
      </c>
      <c r="D19" s="38">
        <v>0</v>
      </c>
      <c r="E19" s="55">
        <v>56869</v>
      </c>
      <c r="F19" s="56">
        <v>205354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150528</v>
      </c>
      <c r="C20" s="50">
        <v>0</v>
      </c>
      <c r="D20" s="27">
        <v>0</v>
      </c>
      <c r="E20" s="55">
        <v>0</v>
      </c>
      <c r="F20" s="57">
        <v>150528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429227</v>
      </c>
      <c r="C21" s="51"/>
      <c r="D21" s="33"/>
      <c r="E21" s="33">
        <f>E22+E23</f>
        <v>429227</v>
      </c>
      <c r="F21" s="34">
        <f>F22+F23</f>
        <v>0</v>
      </c>
      <c r="G21" s="13">
        <f>SUM(H21:K21)</f>
        <v>0.02</v>
      </c>
      <c r="H21" s="10"/>
      <c r="I21" s="11"/>
      <c r="J21" s="35">
        <v>0.02</v>
      </c>
      <c r="K21" s="36"/>
    </row>
    <row r="22" spans="1:11" x14ac:dyDescent="0.25">
      <c r="A22" s="68" t="s">
        <v>10</v>
      </c>
      <c r="B22" s="18">
        <f t="shared" si="0"/>
        <v>429227</v>
      </c>
      <c r="C22" s="37">
        <v>0</v>
      </c>
      <c r="D22" s="19">
        <v>0</v>
      </c>
      <c r="E22" s="55">
        <v>429227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489668</v>
      </c>
      <c r="C24" s="52"/>
      <c r="D24" s="35"/>
      <c r="E24" s="33">
        <f>E25+E26</f>
        <v>489668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489668</v>
      </c>
      <c r="C25" s="37">
        <v>0</v>
      </c>
      <c r="D25" s="19">
        <v>0</v>
      </c>
      <c r="E25" s="55">
        <v>489668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K7" sqref="K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231583285</v>
      </c>
      <c r="C6" s="10">
        <f>C7+C8</f>
        <v>4100661</v>
      </c>
      <c r="D6" s="11">
        <f>D7+D8</f>
        <v>643080</v>
      </c>
      <c r="E6" s="11">
        <f>E7+E8</f>
        <v>96779529</v>
      </c>
      <c r="F6" s="12">
        <f>F7+F8</f>
        <v>130060015</v>
      </c>
      <c r="G6" s="13">
        <f>SUM(H6:K6)</f>
        <v>25.731622999999999</v>
      </c>
      <c r="H6" s="14">
        <v>0.44800000000000001</v>
      </c>
      <c r="I6" s="15"/>
      <c r="J6" s="16">
        <f>20.254621+0.014</f>
        <v>20.268621</v>
      </c>
      <c r="K6" s="70">
        <f>4.980002+0.035</f>
        <v>5.015002</v>
      </c>
    </row>
    <row r="7" spans="1:11" x14ac:dyDescent="0.25">
      <c r="A7" s="17" t="s">
        <v>10</v>
      </c>
      <c r="B7" s="18">
        <f t="shared" si="0"/>
        <v>121212005</v>
      </c>
      <c r="C7" s="58">
        <f>4057172+43489</f>
        <v>4100661</v>
      </c>
      <c r="D7" s="59">
        <v>643080</v>
      </c>
      <c r="E7" s="59">
        <f>82088411+1289816</f>
        <v>83378227</v>
      </c>
      <c r="F7" s="64">
        <f>32585322+504715</f>
        <v>33090037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110371280</v>
      </c>
      <c r="C8" s="60">
        <v>0</v>
      </c>
      <c r="D8" s="61">
        <v>0</v>
      </c>
      <c r="E8" s="62">
        <v>13401302</v>
      </c>
      <c r="F8" s="65">
        <f>95048214+1921764</f>
        <v>96969978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27895437</v>
      </c>
      <c r="C9" s="32">
        <f>C10+C11</f>
        <v>0</v>
      </c>
      <c r="D9" s="33">
        <f>D10+D11</f>
        <v>0</v>
      </c>
      <c r="E9" s="33">
        <f>E10+E11</f>
        <v>13149923</v>
      </c>
      <c r="F9" s="34">
        <f>F10+F11</f>
        <v>14745514</v>
      </c>
      <c r="G9" s="13">
        <f>SUM(H9:K9)</f>
        <v>4.9897080000000003</v>
      </c>
      <c r="H9" s="10"/>
      <c r="I9" s="11"/>
      <c r="J9" s="66">
        <v>4.4017080000000002</v>
      </c>
      <c r="K9" s="36">
        <v>0.58799999999999997</v>
      </c>
    </row>
    <row r="10" spans="1:11" x14ac:dyDescent="0.25">
      <c r="A10" s="68" t="s">
        <v>10</v>
      </c>
      <c r="B10" s="18">
        <f t="shared" si="0"/>
        <v>14409546</v>
      </c>
      <c r="C10" s="37">
        <v>0</v>
      </c>
      <c r="D10" s="19">
        <v>0</v>
      </c>
      <c r="E10" s="55">
        <v>11363582</v>
      </c>
      <c r="F10" s="56">
        <v>3045964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13485891</v>
      </c>
      <c r="C11" s="26">
        <v>0</v>
      </c>
      <c r="D11" s="27">
        <v>0</v>
      </c>
      <c r="E11" s="55">
        <v>1786341</v>
      </c>
      <c r="F11" s="56">
        <v>11699550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160496</v>
      </c>
      <c r="C12" s="10"/>
      <c r="D12" s="11"/>
      <c r="E12" s="33">
        <f>E13+E14</f>
        <v>123199</v>
      </c>
      <c r="F12" s="34">
        <f>F13+F14</f>
        <v>37297</v>
      </c>
      <c r="G12" s="13">
        <f>SUM(H12:K12)</f>
        <v>0.20899999999999999</v>
      </c>
      <c r="H12" s="10"/>
      <c r="I12" s="11"/>
      <c r="J12" s="35">
        <v>0.20899999999999999</v>
      </c>
      <c r="K12" s="36"/>
    </row>
    <row r="13" spans="1:11" x14ac:dyDescent="0.25">
      <c r="A13" s="68" t="s">
        <v>10</v>
      </c>
      <c r="B13" s="18">
        <f t="shared" si="0"/>
        <v>123199</v>
      </c>
      <c r="C13" s="37">
        <v>0</v>
      </c>
      <c r="D13" s="42">
        <v>0</v>
      </c>
      <c r="E13" s="43">
        <v>123199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37297</v>
      </c>
      <c r="C14" s="26">
        <v>0</v>
      </c>
      <c r="D14" s="45">
        <v>0</v>
      </c>
      <c r="E14" s="45">
        <v>0</v>
      </c>
      <c r="F14" s="57">
        <v>37297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95662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64841</v>
      </c>
      <c r="G15" s="13">
        <f>SUM(H15:K15)</f>
        <v>0.161</v>
      </c>
      <c r="H15" s="10"/>
      <c r="I15" s="11"/>
      <c r="J15" s="35">
        <v>5.1999999999999998E-2</v>
      </c>
      <c r="K15" s="36">
        <v>0.109</v>
      </c>
    </row>
    <row r="16" spans="1:11" x14ac:dyDescent="0.25">
      <c r="A16" s="68" t="s">
        <v>10</v>
      </c>
      <c r="B16" s="47">
        <f t="shared" si="0"/>
        <v>95662</v>
      </c>
      <c r="C16" s="48">
        <v>0</v>
      </c>
      <c r="D16" s="19">
        <v>0</v>
      </c>
      <c r="E16" s="55">
        <v>30821</v>
      </c>
      <c r="F16" s="56">
        <v>64841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372826</v>
      </c>
      <c r="C18" s="32">
        <f>C19+C20</f>
        <v>0</v>
      </c>
      <c r="D18" s="33">
        <f>D19+D20</f>
        <v>0</v>
      </c>
      <c r="E18" s="33">
        <f>E19+E20</f>
        <v>25931</v>
      </c>
      <c r="F18" s="34">
        <f>F19+F20</f>
        <v>346895</v>
      </c>
      <c r="G18" s="13">
        <f>SUM(H18:K18)</f>
        <v>6.0000000000000001E-3</v>
      </c>
      <c r="H18" s="10"/>
      <c r="I18" s="11"/>
      <c r="J18" s="35"/>
      <c r="K18" s="36">
        <v>6.0000000000000001E-3</v>
      </c>
    </row>
    <row r="19" spans="1:11" x14ac:dyDescent="0.25">
      <c r="A19" s="68" t="s">
        <v>10</v>
      </c>
      <c r="B19" s="47">
        <f t="shared" si="0"/>
        <v>262105</v>
      </c>
      <c r="C19" s="48">
        <v>0</v>
      </c>
      <c r="D19" s="38">
        <v>0</v>
      </c>
      <c r="E19" s="55">
        <v>25931</v>
      </c>
      <c r="F19" s="56">
        <v>236174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110721</v>
      </c>
      <c r="C20" s="50">
        <v>0</v>
      </c>
      <c r="D20" s="27">
        <v>0</v>
      </c>
      <c r="E20" s="55">
        <v>0</v>
      </c>
      <c r="F20" s="57">
        <v>110721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383991</v>
      </c>
      <c r="C21" s="51"/>
      <c r="D21" s="33"/>
      <c r="E21" s="33">
        <f>E22+E23</f>
        <v>383991</v>
      </c>
      <c r="F21" s="34">
        <f>F22+F23</f>
        <v>0</v>
      </c>
      <c r="G21" s="13">
        <f>SUM(H21:K21)</f>
        <v>1.7999999999999999E-2</v>
      </c>
      <c r="H21" s="10"/>
      <c r="I21" s="11"/>
      <c r="J21" s="35">
        <v>1.7999999999999999E-2</v>
      </c>
      <c r="K21" s="36"/>
    </row>
    <row r="22" spans="1:11" x14ac:dyDescent="0.25">
      <c r="A22" s="68" t="s">
        <v>10</v>
      </c>
      <c r="B22" s="18">
        <f t="shared" si="0"/>
        <v>383991</v>
      </c>
      <c r="C22" s="37">
        <v>0</v>
      </c>
      <c r="D22" s="19">
        <v>0</v>
      </c>
      <c r="E22" s="55">
        <v>383991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438337</v>
      </c>
      <c r="C24" s="52"/>
      <c r="D24" s="35"/>
      <c r="E24" s="33">
        <f>E25+E26</f>
        <v>438337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438337</v>
      </c>
      <c r="C25" s="37">
        <v>0</v>
      </c>
      <c r="D25" s="19">
        <v>0</v>
      </c>
      <c r="E25" s="55">
        <v>438337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  <row r="30" spans="1:11" x14ac:dyDescent="0.25">
      <c r="B30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N18" sqref="N1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855468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218309421</v>
      </c>
      <c r="C6" s="10">
        <f>C7+C8</f>
        <v>4061798</v>
      </c>
      <c r="D6" s="11">
        <f>D7+D8</f>
        <v>713050</v>
      </c>
      <c r="E6" s="11">
        <f>E7+E8</f>
        <v>95009520</v>
      </c>
      <c r="F6" s="12">
        <f>F7+F8</f>
        <v>118525053</v>
      </c>
      <c r="G6" s="13">
        <f>SUM(H6:K6)</f>
        <v>25.461987000000001</v>
      </c>
      <c r="H6" s="14">
        <v>0.44</v>
      </c>
      <c r="I6" s="15"/>
      <c r="J6" s="16">
        <v>20.013691000000001</v>
      </c>
      <c r="K6" s="70">
        <v>5.0082959999999996</v>
      </c>
    </row>
    <row r="7" spans="1:11" x14ac:dyDescent="0.25">
      <c r="A7" s="17" t="s">
        <v>10</v>
      </c>
      <c r="B7" s="18">
        <f t="shared" si="0"/>
        <v>118704278</v>
      </c>
      <c r="C7" s="58">
        <f>4015329+46469</f>
        <v>4061798</v>
      </c>
      <c r="D7" s="59">
        <v>713050</v>
      </c>
      <c r="E7" s="59">
        <f>82643063+1268230</f>
        <v>83911293</v>
      </c>
      <c r="F7" s="64">
        <f>29642670+375467</f>
        <v>30018137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99605143</v>
      </c>
      <c r="C8" s="60">
        <v>0</v>
      </c>
      <c r="D8" s="61">
        <v>0</v>
      </c>
      <c r="E8" s="62">
        <v>11098227</v>
      </c>
      <c r="F8" s="65">
        <f>86547529+1959387</f>
        <v>88506916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23636816</v>
      </c>
      <c r="C9" s="32">
        <f>C10+C11</f>
        <v>0</v>
      </c>
      <c r="D9" s="33">
        <f>D10+D11</f>
        <v>0</v>
      </c>
      <c r="E9" s="33">
        <f>E10+E11</f>
        <v>10319771</v>
      </c>
      <c r="F9" s="34">
        <f>F10+F11</f>
        <v>13317045</v>
      </c>
      <c r="G9" s="13">
        <f>SUM(H9:K9)</f>
        <v>4.217625</v>
      </c>
      <c r="H9" s="10"/>
      <c r="I9" s="11"/>
      <c r="J9" s="66">
        <v>4.0446249999999999</v>
      </c>
      <c r="K9" s="36">
        <v>0.17299999999999999</v>
      </c>
    </row>
    <row r="10" spans="1:11" x14ac:dyDescent="0.25">
      <c r="A10" s="68" t="s">
        <v>10</v>
      </c>
      <c r="B10" s="18">
        <f t="shared" si="0"/>
        <v>11143657</v>
      </c>
      <c r="C10" s="37">
        <v>0</v>
      </c>
      <c r="D10" s="19">
        <v>0</v>
      </c>
      <c r="E10" s="55">
        <v>8860805</v>
      </c>
      <c r="F10" s="56">
        <v>2282852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12493159</v>
      </c>
      <c r="C11" s="26">
        <v>0</v>
      </c>
      <c r="D11" s="27">
        <v>0</v>
      </c>
      <c r="E11" s="55">
        <v>1458966</v>
      </c>
      <c r="F11" s="56">
        <v>11034193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140964</v>
      </c>
      <c r="C12" s="10"/>
      <c r="D12" s="11"/>
      <c r="E12" s="33">
        <f>E13+E14</f>
        <v>115223</v>
      </c>
      <c r="F12" s="34">
        <f>F13+F14</f>
        <v>25741</v>
      </c>
      <c r="G12" s="13">
        <f>SUM(H12:K12)</f>
        <v>0.17799999999999999</v>
      </c>
      <c r="H12" s="10"/>
      <c r="I12" s="11"/>
      <c r="J12" s="35">
        <v>0.17799999999999999</v>
      </c>
      <c r="K12" s="36"/>
    </row>
    <row r="13" spans="1:11" x14ac:dyDescent="0.25">
      <c r="A13" s="68" t="s">
        <v>10</v>
      </c>
      <c r="B13" s="18">
        <f t="shared" si="0"/>
        <v>115223</v>
      </c>
      <c r="C13" s="37">
        <v>0</v>
      </c>
      <c r="D13" s="42">
        <v>0</v>
      </c>
      <c r="E13" s="43">
        <v>115223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25741</v>
      </c>
      <c r="C14" s="26">
        <v>0</v>
      </c>
      <c r="D14" s="45">
        <v>0</v>
      </c>
      <c r="E14" s="45">
        <v>0</v>
      </c>
      <c r="F14" s="57">
        <v>25741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96239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65418</v>
      </c>
      <c r="G15" s="13">
        <f>SUM(H15:K15)</f>
        <v>0.14900000000000002</v>
      </c>
      <c r="H15" s="10"/>
      <c r="I15" s="11"/>
      <c r="J15" s="35">
        <v>4.8000000000000001E-2</v>
      </c>
      <c r="K15" s="36">
        <v>0.10100000000000001</v>
      </c>
    </row>
    <row r="16" spans="1:11" x14ac:dyDescent="0.25">
      <c r="A16" s="68" t="s">
        <v>10</v>
      </c>
      <c r="B16" s="47">
        <f t="shared" si="0"/>
        <v>96239</v>
      </c>
      <c r="C16" s="48">
        <v>0</v>
      </c>
      <c r="D16" s="19">
        <v>0</v>
      </c>
      <c r="E16" s="55">
        <v>30821</v>
      </c>
      <c r="F16" s="56">
        <v>65418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328385</v>
      </c>
      <c r="C18" s="32">
        <f>C19+C20</f>
        <v>0</v>
      </c>
      <c r="D18" s="33">
        <f>D19+D20</f>
        <v>0</v>
      </c>
      <c r="E18" s="33">
        <f>E19+E20</f>
        <v>36433</v>
      </c>
      <c r="F18" s="34">
        <f>F19+F20</f>
        <v>291952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8" t="s">
        <v>10</v>
      </c>
      <c r="B19" s="47">
        <f t="shared" si="0"/>
        <v>226124</v>
      </c>
      <c r="C19" s="48">
        <v>0</v>
      </c>
      <c r="D19" s="38">
        <v>0</v>
      </c>
      <c r="E19" s="55">
        <v>36433</v>
      </c>
      <c r="F19" s="56">
        <v>189691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102261</v>
      </c>
      <c r="C20" s="50">
        <v>0</v>
      </c>
      <c r="D20" s="27">
        <v>0</v>
      </c>
      <c r="E20" s="55">
        <v>0</v>
      </c>
      <c r="F20" s="57">
        <v>102261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401334</v>
      </c>
      <c r="C21" s="51"/>
      <c r="D21" s="33"/>
      <c r="E21" s="33">
        <f>E22+E23</f>
        <v>401334</v>
      </c>
      <c r="F21" s="34">
        <f>F22+F23</f>
        <v>0</v>
      </c>
      <c r="G21" s="13">
        <f>SUM(H21:K21)</f>
        <v>1.4999999999999999E-2</v>
      </c>
      <c r="H21" s="10"/>
      <c r="I21" s="11"/>
      <c r="J21" s="35">
        <v>1.4999999999999999E-2</v>
      </c>
      <c r="K21" s="36"/>
    </row>
    <row r="22" spans="1:11" x14ac:dyDescent="0.25">
      <c r="A22" s="68" t="s">
        <v>10</v>
      </c>
      <c r="B22" s="18">
        <f t="shared" si="0"/>
        <v>401334</v>
      </c>
      <c r="C22" s="37">
        <v>0</v>
      </c>
      <c r="D22" s="19">
        <v>0</v>
      </c>
      <c r="E22" s="55">
        <v>401334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509009</v>
      </c>
      <c r="C24" s="52"/>
      <c r="D24" s="35"/>
      <c r="E24" s="33">
        <f>E25+E26</f>
        <v>509009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53" t="s">
        <v>10</v>
      </c>
      <c r="B25" s="18">
        <f t="shared" si="0"/>
        <v>509009</v>
      </c>
      <c r="C25" s="37">
        <v>0</v>
      </c>
      <c r="D25" s="19">
        <v>0</v>
      </c>
      <c r="E25" s="55">
        <v>509009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</row>
    <row r="30" spans="1:11" x14ac:dyDescent="0.25">
      <c r="B30" s="63"/>
    </row>
    <row r="31" spans="1:11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I28" sqref="I28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71093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8" t="s">
        <v>9</v>
      </c>
      <c r="B6" s="9">
        <f t="shared" ref="B6:B26" si="0">C6+D6+E6+F6</f>
        <v>208898694</v>
      </c>
      <c r="C6" s="10">
        <f>C7+C8</f>
        <v>3713917</v>
      </c>
      <c r="D6" s="11">
        <f>D7+D8</f>
        <v>644540</v>
      </c>
      <c r="E6" s="11">
        <f>E7+E8</f>
        <v>86748726</v>
      </c>
      <c r="F6" s="12">
        <f>F7+F8</f>
        <v>117791511</v>
      </c>
      <c r="G6" s="13">
        <f>SUM(H6:K6)</f>
        <v>24.206717999999999</v>
      </c>
      <c r="H6" s="14">
        <v>0.432</v>
      </c>
      <c r="I6" s="15"/>
      <c r="J6" s="16">
        <v>19.092708999999999</v>
      </c>
      <c r="K6" s="70">
        <v>4.6820089999999999</v>
      </c>
    </row>
    <row r="7" spans="1:11" x14ac:dyDescent="0.25">
      <c r="A7" s="17" t="s">
        <v>10</v>
      </c>
      <c r="B7" s="18">
        <f t="shared" si="0"/>
        <v>109754433</v>
      </c>
      <c r="C7" s="58">
        <f>3674293+39624</f>
        <v>3713917</v>
      </c>
      <c r="D7" s="59">
        <v>644540</v>
      </c>
      <c r="E7" s="59">
        <f>75062342+1024103</f>
        <v>76086445</v>
      </c>
      <c r="F7" s="64">
        <f>28969190+340341</f>
        <v>29309531</v>
      </c>
      <c r="G7" s="20"/>
      <c r="H7" s="21"/>
      <c r="I7" s="22"/>
      <c r="J7" s="23"/>
      <c r="K7" s="24"/>
    </row>
    <row r="8" spans="1:11" ht="15.75" thickBot="1" x14ac:dyDescent="0.3">
      <c r="A8" s="17" t="s">
        <v>11</v>
      </c>
      <c r="B8" s="25">
        <f t="shared" si="0"/>
        <v>99144261</v>
      </c>
      <c r="C8" s="60">
        <v>0</v>
      </c>
      <c r="D8" s="61">
        <v>0</v>
      </c>
      <c r="E8" s="62">
        <v>10662281</v>
      </c>
      <c r="F8" s="65">
        <f>86541638+1940342</f>
        <v>88481980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22689800</v>
      </c>
      <c r="C9" s="32">
        <f>C10+C11</f>
        <v>0</v>
      </c>
      <c r="D9" s="33">
        <f>D10+D11</f>
        <v>0</v>
      </c>
      <c r="E9" s="33">
        <f>E10+E11</f>
        <v>9946965</v>
      </c>
      <c r="F9" s="34">
        <f>F10+F11</f>
        <v>12742835</v>
      </c>
      <c r="G9" s="13">
        <f>SUM(H9:K9)</f>
        <v>4.0166339999999998</v>
      </c>
      <c r="H9" s="10"/>
      <c r="I9" s="11"/>
      <c r="J9" s="66">
        <v>3.7906339999999998</v>
      </c>
      <c r="K9" s="36">
        <v>0.22600000000000001</v>
      </c>
    </row>
    <row r="10" spans="1:11" x14ac:dyDescent="0.25">
      <c r="A10" s="68" t="s">
        <v>10</v>
      </c>
      <c r="B10" s="18">
        <f t="shared" si="0"/>
        <v>10989369</v>
      </c>
      <c r="C10" s="37">
        <v>0</v>
      </c>
      <c r="D10" s="19">
        <v>0</v>
      </c>
      <c r="E10" s="55">
        <v>8473239</v>
      </c>
      <c r="F10" s="56">
        <v>2516130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11700431</v>
      </c>
      <c r="C11" s="26">
        <v>0</v>
      </c>
      <c r="D11" s="27">
        <v>0</v>
      </c>
      <c r="E11" s="55">
        <v>1473726</v>
      </c>
      <c r="F11" s="56">
        <v>10226705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116041</v>
      </c>
      <c r="C12" s="10"/>
      <c r="D12" s="11"/>
      <c r="E12" s="33">
        <f>E13+E14</f>
        <v>90520</v>
      </c>
      <c r="F12" s="34">
        <f>F13+F14</f>
        <v>25521</v>
      </c>
      <c r="G12" s="13">
        <f>SUM(H12:K12)</f>
        <v>0.13300000000000001</v>
      </c>
      <c r="H12" s="10"/>
      <c r="I12" s="11"/>
      <c r="J12" s="35">
        <v>0.13300000000000001</v>
      </c>
      <c r="K12" s="36"/>
    </row>
    <row r="13" spans="1:11" x14ac:dyDescent="0.25">
      <c r="A13" s="68" t="s">
        <v>10</v>
      </c>
      <c r="B13" s="18">
        <f t="shared" si="0"/>
        <v>90520</v>
      </c>
      <c r="C13" s="37">
        <v>0</v>
      </c>
      <c r="D13" s="42">
        <v>0</v>
      </c>
      <c r="E13" s="43">
        <v>90520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25521</v>
      </c>
      <c r="C14" s="26">
        <v>0</v>
      </c>
      <c r="D14" s="45">
        <v>0</v>
      </c>
      <c r="E14" s="45">
        <v>0</v>
      </c>
      <c r="F14" s="57">
        <v>25521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96082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65261</v>
      </c>
      <c r="G15" s="13">
        <f>SUM(H15:K15)</f>
        <v>0.151</v>
      </c>
      <c r="H15" s="10"/>
      <c r="I15" s="11"/>
      <c r="J15" s="35">
        <v>4.8000000000000001E-2</v>
      </c>
      <c r="K15" s="36">
        <v>0.10299999999999999</v>
      </c>
    </row>
    <row r="16" spans="1:11" x14ac:dyDescent="0.25">
      <c r="A16" s="68" t="s">
        <v>10</v>
      </c>
      <c r="B16" s="47">
        <f t="shared" si="0"/>
        <v>96082</v>
      </c>
      <c r="C16" s="48">
        <v>0</v>
      </c>
      <c r="D16" s="19">
        <v>0</v>
      </c>
      <c r="E16" s="55">
        <v>30821</v>
      </c>
      <c r="F16" s="56">
        <v>65261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357011</v>
      </c>
      <c r="C18" s="32">
        <f>C19+C20</f>
        <v>0</v>
      </c>
      <c r="D18" s="33">
        <f>D19+D20</f>
        <v>0</v>
      </c>
      <c r="E18" s="33">
        <f>E19+E20</f>
        <v>83370</v>
      </c>
      <c r="F18" s="34">
        <f>F19+F20</f>
        <v>273641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8" t="s">
        <v>10</v>
      </c>
      <c r="B19" s="47">
        <f t="shared" si="0"/>
        <v>236150</v>
      </c>
      <c r="C19" s="48">
        <v>0</v>
      </c>
      <c r="D19" s="38">
        <v>0</v>
      </c>
      <c r="E19" s="55">
        <v>83370</v>
      </c>
      <c r="F19" s="56">
        <v>152780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120861</v>
      </c>
      <c r="C20" s="50">
        <v>0</v>
      </c>
      <c r="D20" s="27">
        <v>0</v>
      </c>
      <c r="E20" s="55">
        <v>0</v>
      </c>
      <c r="F20" s="57">
        <v>120861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383786</v>
      </c>
      <c r="C21" s="51"/>
      <c r="D21" s="33"/>
      <c r="E21" s="33">
        <f>E22+E23</f>
        <v>383786</v>
      </c>
      <c r="F21" s="34">
        <f>F22+F23</f>
        <v>0</v>
      </c>
      <c r="G21" s="13">
        <f>SUM(H21:K21)</f>
        <v>1.2E-2</v>
      </c>
      <c r="H21" s="10"/>
      <c r="I21" s="11"/>
      <c r="J21" s="35">
        <v>1.2E-2</v>
      </c>
      <c r="K21" s="36"/>
    </row>
    <row r="22" spans="1:11" x14ac:dyDescent="0.25">
      <c r="A22" s="68" t="s">
        <v>10</v>
      </c>
      <c r="B22" s="18">
        <f t="shared" si="0"/>
        <v>383786</v>
      </c>
      <c r="C22" s="37">
        <v>0</v>
      </c>
      <c r="D22" s="19">
        <v>0</v>
      </c>
      <c r="E22" s="55">
        <v>383786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419238</v>
      </c>
      <c r="C24" s="52"/>
      <c r="D24" s="35"/>
      <c r="E24" s="33">
        <f>E25+E26</f>
        <v>419238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1" t="s">
        <v>10</v>
      </c>
      <c r="B25" s="18">
        <f t="shared" si="0"/>
        <v>419238</v>
      </c>
      <c r="C25" s="37">
        <v>0</v>
      </c>
      <c r="D25" s="19">
        <v>0</v>
      </c>
      <c r="E25" s="55">
        <v>419238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  <c r="C29" s="63"/>
    </row>
    <row r="30" spans="1:11" x14ac:dyDescent="0.25">
      <c r="B30" s="63"/>
    </row>
    <row r="31" spans="1:11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5" sqref="K15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71093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1" ht="15" customHeight="1" x14ac:dyDescent="0.25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1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1" x14ac:dyDescent="0.25">
      <c r="A6" s="69" t="s">
        <v>9</v>
      </c>
      <c r="B6" s="9">
        <f t="shared" ref="B6:B26" si="0">C6+D6+E6+F6</f>
        <v>188096497.00300002</v>
      </c>
      <c r="C6" s="10">
        <f>C7+C8</f>
        <v>3087222</v>
      </c>
      <c r="D6" s="11">
        <f>D7+D8</f>
        <v>579664</v>
      </c>
      <c r="E6" s="11">
        <f>E7+E8</f>
        <v>76344787</v>
      </c>
      <c r="F6" s="12">
        <f>F7+F8</f>
        <v>108084824.00300001</v>
      </c>
      <c r="G6" s="13">
        <f>SUM(H6:K6)</f>
        <v>21.570526999999998</v>
      </c>
      <c r="H6" s="14">
        <v>0.40500000000000003</v>
      </c>
      <c r="I6" s="15"/>
      <c r="J6" s="16">
        <v>16.900897999999998</v>
      </c>
      <c r="K6" s="70">
        <v>4.2646289999999993</v>
      </c>
    </row>
    <row r="7" spans="1:11" x14ac:dyDescent="0.25">
      <c r="A7" s="68" t="s">
        <v>10</v>
      </c>
      <c r="B7" s="18">
        <f t="shared" si="0"/>
        <v>96711289</v>
      </c>
      <c r="C7" s="58">
        <f>3074323+12899</f>
        <v>3087222</v>
      </c>
      <c r="D7" s="59">
        <v>579664</v>
      </c>
      <c r="E7" s="59">
        <f>65702022+651900</f>
        <v>66353922</v>
      </c>
      <c r="F7" s="64">
        <f>26354829+335652</f>
        <v>26690481</v>
      </c>
      <c r="G7" s="20"/>
      <c r="H7" s="21"/>
      <c r="I7" s="22"/>
      <c r="J7" s="23"/>
      <c r="K7" s="24"/>
    </row>
    <row r="8" spans="1:11" ht="15.75" thickBot="1" x14ac:dyDescent="0.3">
      <c r="A8" s="68" t="s">
        <v>11</v>
      </c>
      <c r="B8" s="25">
        <f t="shared" si="0"/>
        <v>91385208.003000006</v>
      </c>
      <c r="C8" s="60">
        <v>0</v>
      </c>
      <c r="D8" s="61">
        <v>0</v>
      </c>
      <c r="E8" s="62">
        <v>9990865</v>
      </c>
      <c r="F8" s="65">
        <f>79461672.003+1932671</f>
        <v>81394343.003000006</v>
      </c>
      <c r="G8" s="20"/>
      <c r="H8" s="28"/>
      <c r="I8" s="29"/>
      <c r="J8" s="29"/>
      <c r="K8" s="30"/>
    </row>
    <row r="9" spans="1:11" x14ac:dyDescent="0.25">
      <c r="A9" s="69" t="s">
        <v>12</v>
      </c>
      <c r="B9" s="31">
        <f t="shared" si="0"/>
        <v>21207536</v>
      </c>
      <c r="C9" s="32">
        <f>C10+C11</f>
        <v>0</v>
      </c>
      <c r="D9" s="33">
        <f>D10+D11</f>
        <v>0</v>
      </c>
      <c r="E9" s="33">
        <f>E10+E11</f>
        <v>9137944</v>
      </c>
      <c r="F9" s="34">
        <f>F10+F11</f>
        <v>12069592</v>
      </c>
      <c r="G9" s="13">
        <f>SUM(H9:K9)</f>
        <v>3.6869190000000001</v>
      </c>
      <c r="H9" s="10"/>
      <c r="I9" s="11"/>
      <c r="J9" s="66">
        <v>3.501919</v>
      </c>
      <c r="K9" s="36">
        <v>0.185</v>
      </c>
    </row>
    <row r="10" spans="1:11" x14ac:dyDescent="0.25">
      <c r="A10" s="68" t="s">
        <v>10</v>
      </c>
      <c r="B10" s="18">
        <f t="shared" si="0"/>
        <v>9889771</v>
      </c>
      <c r="C10" s="37">
        <v>0</v>
      </c>
      <c r="D10" s="19">
        <v>0</v>
      </c>
      <c r="E10" s="55">
        <v>7901141</v>
      </c>
      <c r="F10" s="56">
        <v>1988630</v>
      </c>
      <c r="G10" s="40"/>
      <c r="H10" s="21"/>
      <c r="I10" s="22"/>
      <c r="J10" s="22"/>
      <c r="K10" s="24"/>
    </row>
    <row r="11" spans="1:11" ht="15.75" thickBot="1" x14ac:dyDescent="0.3">
      <c r="A11" s="68" t="s">
        <v>11</v>
      </c>
      <c r="B11" s="25">
        <f t="shared" si="0"/>
        <v>11317765</v>
      </c>
      <c r="C11" s="26">
        <v>0</v>
      </c>
      <c r="D11" s="27">
        <v>0</v>
      </c>
      <c r="E11" s="55">
        <v>1236803</v>
      </c>
      <c r="F11" s="56">
        <v>10080962</v>
      </c>
      <c r="G11" s="41"/>
      <c r="H11" s="28"/>
      <c r="I11" s="29"/>
      <c r="J11" s="29"/>
      <c r="K11" s="30"/>
    </row>
    <row r="12" spans="1:11" x14ac:dyDescent="0.25">
      <c r="A12" s="69" t="s">
        <v>13</v>
      </c>
      <c r="B12" s="9">
        <f t="shared" si="0"/>
        <v>99410</v>
      </c>
      <c r="C12" s="10"/>
      <c r="D12" s="11"/>
      <c r="E12" s="33">
        <f>E13+E14</f>
        <v>79643</v>
      </c>
      <c r="F12" s="34">
        <f>F13+F14</f>
        <v>19767</v>
      </c>
      <c r="G12" s="13">
        <f>SUM(H12:K12)</f>
        <v>0.115</v>
      </c>
      <c r="H12" s="10"/>
      <c r="I12" s="11"/>
      <c r="J12" s="35">
        <v>0.115</v>
      </c>
      <c r="K12" s="36"/>
    </row>
    <row r="13" spans="1:11" x14ac:dyDescent="0.25">
      <c r="A13" s="68" t="s">
        <v>10</v>
      </c>
      <c r="B13" s="18">
        <f t="shared" si="0"/>
        <v>79643</v>
      </c>
      <c r="C13" s="37">
        <v>0</v>
      </c>
      <c r="D13" s="42">
        <v>0</v>
      </c>
      <c r="E13" s="43">
        <v>79643</v>
      </c>
      <c r="F13" s="44">
        <v>0</v>
      </c>
      <c r="G13" s="40"/>
      <c r="H13" s="21"/>
      <c r="I13" s="22"/>
      <c r="J13" s="22"/>
      <c r="K13" s="24"/>
    </row>
    <row r="14" spans="1:11" ht="15.75" thickBot="1" x14ac:dyDescent="0.3">
      <c r="A14" s="68" t="s">
        <v>11</v>
      </c>
      <c r="B14" s="25">
        <f t="shared" si="0"/>
        <v>19767</v>
      </c>
      <c r="C14" s="26">
        <v>0</v>
      </c>
      <c r="D14" s="45">
        <v>0</v>
      </c>
      <c r="E14" s="45">
        <v>0</v>
      </c>
      <c r="F14" s="57">
        <v>19767</v>
      </c>
      <c r="G14" s="41"/>
      <c r="H14" s="28"/>
      <c r="I14" s="29"/>
      <c r="J14" s="29"/>
      <c r="K14" s="30"/>
    </row>
    <row r="15" spans="1:11" x14ac:dyDescent="0.25">
      <c r="A15" s="69" t="s">
        <v>14</v>
      </c>
      <c r="B15" s="31">
        <f t="shared" si="0"/>
        <v>96464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65643</v>
      </c>
      <c r="G15" s="13">
        <f>SUM(H15:K15)</f>
        <v>0.14700000000000002</v>
      </c>
      <c r="H15" s="10"/>
      <c r="I15" s="11"/>
      <c r="J15" s="35">
        <v>4.8000000000000001E-2</v>
      </c>
      <c r="K15" s="36">
        <v>9.9000000000000005E-2</v>
      </c>
    </row>
    <row r="16" spans="1:11" x14ac:dyDescent="0.25">
      <c r="A16" s="68" t="s">
        <v>10</v>
      </c>
      <c r="B16" s="47">
        <f t="shared" si="0"/>
        <v>96464</v>
      </c>
      <c r="C16" s="48">
        <v>0</v>
      </c>
      <c r="D16" s="19">
        <v>0</v>
      </c>
      <c r="E16" s="55">
        <v>30821</v>
      </c>
      <c r="F16" s="56">
        <v>65643</v>
      </c>
      <c r="G16" s="40"/>
      <c r="H16" s="21"/>
      <c r="I16" s="22"/>
      <c r="J16" s="22"/>
      <c r="K16" s="24"/>
    </row>
    <row r="17" spans="1:11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1" x14ac:dyDescent="0.25">
      <c r="A18" s="69" t="s">
        <v>15</v>
      </c>
      <c r="B18" s="31">
        <f t="shared" si="0"/>
        <v>266111</v>
      </c>
      <c r="C18" s="32">
        <f>C19+C20</f>
        <v>0</v>
      </c>
      <c r="D18" s="33">
        <f>D19+D20</f>
        <v>0</v>
      </c>
      <c r="E18" s="33">
        <f>E19+E20</f>
        <v>29232</v>
      </c>
      <c r="F18" s="34">
        <f>F19+F20</f>
        <v>236879</v>
      </c>
      <c r="G18" s="13">
        <f>SUM(H18:K18)</f>
        <v>5.0000000000000001E-3</v>
      </c>
      <c r="H18" s="10"/>
      <c r="I18" s="11"/>
      <c r="J18" s="35"/>
      <c r="K18" s="36">
        <v>5.0000000000000001E-3</v>
      </c>
    </row>
    <row r="19" spans="1:11" x14ac:dyDescent="0.25">
      <c r="A19" s="68" t="s">
        <v>10</v>
      </c>
      <c r="B19" s="47">
        <f t="shared" si="0"/>
        <v>168340</v>
      </c>
      <c r="C19" s="48">
        <v>0</v>
      </c>
      <c r="D19" s="38">
        <v>0</v>
      </c>
      <c r="E19" s="55">
        <v>29232</v>
      </c>
      <c r="F19" s="56">
        <v>139108</v>
      </c>
      <c r="G19" s="40"/>
      <c r="H19" s="21"/>
      <c r="I19" s="22"/>
      <c r="J19" s="22"/>
      <c r="K19" s="24"/>
    </row>
    <row r="20" spans="1:11" ht="15.75" thickBot="1" x14ac:dyDescent="0.3">
      <c r="A20" s="68" t="s">
        <v>11</v>
      </c>
      <c r="B20" s="49">
        <f t="shared" si="0"/>
        <v>97771</v>
      </c>
      <c r="C20" s="50">
        <v>0</v>
      </c>
      <c r="D20" s="27">
        <v>0</v>
      </c>
      <c r="E20" s="55">
        <v>0</v>
      </c>
      <c r="F20" s="57">
        <v>97771</v>
      </c>
      <c r="G20" s="41"/>
      <c r="H20" s="28"/>
      <c r="I20" s="29"/>
      <c r="J20" s="29"/>
      <c r="K20" s="30"/>
    </row>
    <row r="21" spans="1:11" x14ac:dyDescent="0.25">
      <c r="A21" s="69" t="s">
        <v>16</v>
      </c>
      <c r="B21" s="9">
        <f t="shared" si="0"/>
        <v>328341</v>
      </c>
      <c r="C21" s="51"/>
      <c r="D21" s="33"/>
      <c r="E21" s="33">
        <f>E22+E23</f>
        <v>328341</v>
      </c>
      <c r="F21" s="34">
        <f>F22+F23</f>
        <v>0</v>
      </c>
      <c r="G21" s="13">
        <f>SUM(H21:K21)</f>
        <v>1.0999999999999999E-2</v>
      </c>
      <c r="H21" s="10"/>
      <c r="I21" s="11"/>
      <c r="J21" s="35">
        <v>1.0999999999999999E-2</v>
      </c>
      <c r="K21" s="36"/>
    </row>
    <row r="22" spans="1:11" x14ac:dyDescent="0.25">
      <c r="A22" s="68" t="s">
        <v>10</v>
      </c>
      <c r="B22" s="18">
        <f t="shared" si="0"/>
        <v>328341</v>
      </c>
      <c r="C22" s="37">
        <v>0</v>
      </c>
      <c r="D22" s="19">
        <v>0</v>
      </c>
      <c r="E22" s="55">
        <v>328341</v>
      </c>
      <c r="F22" s="39">
        <v>0</v>
      </c>
      <c r="G22" s="40"/>
      <c r="H22" s="21"/>
      <c r="I22" s="22"/>
      <c r="J22" s="22"/>
      <c r="K22" s="24"/>
    </row>
    <row r="23" spans="1:11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1" x14ac:dyDescent="0.25">
      <c r="A24" s="67" t="s">
        <v>17</v>
      </c>
      <c r="B24" s="9">
        <f t="shared" si="0"/>
        <v>458638</v>
      </c>
      <c r="C24" s="52"/>
      <c r="D24" s="35"/>
      <c r="E24" s="33">
        <f>E25+E26</f>
        <v>458638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</row>
    <row r="25" spans="1:11" x14ac:dyDescent="0.25">
      <c r="A25" s="71" t="s">
        <v>10</v>
      </c>
      <c r="B25" s="18">
        <f t="shared" si="0"/>
        <v>458638</v>
      </c>
      <c r="C25" s="37">
        <v>0</v>
      </c>
      <c r="D25" s="19">
        <v>0</v>
      </c>
      <c r="E25" s="55">
        <v>458638</v>
      </c>
      <c r="F25" s="39">
        <v>0</v>
      </c>
      <c r="G25" s="40"/>
      <c r="H25" s="21"/>
      <c r="I25" s="22"/>
      <c r="J25" s="22"/>
      <c r="K25" s="24"/>
    </row>
    <row r="26" spans="1:11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1" x14ac:dyDescent="0.25">
      <c r="B28" s="63"/>
    </row>
    <row r="29" spans="1:11" x14ac:dyDescent="0.25">
      <c r="B29" s="63"/>
      <c r="C29" s="63"/>
    </row>
    <row r="30" spans="1:11" x14ac:dyDescent="0.25">
      <c r="B30" s="63"/>
    </row>
    <row r="31" spans="1:11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O11" sqref="O11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71093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3" ht="15" customHeight="1" x14ac:dyDescent="0.25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3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3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3" x14ac:dyDescent="0.25">
      <c r="A6" s="69" t="s">
        <v>9</v>
      </c>
      <c r="B6" s="9">
        <f t="shared" ref="B6:B26" si="0">C6+D6+E6+F6</f>
        <v>168156890</v>
      </c>
      <c r="C6" s="10">
        <f>C7+C8</f>
        <v>2873928</v>
      </c>
      <c r="D6" s="11">
        <f>D7+D8</f>
        <v>527848</v>
      </c>
      <c r="E6" s="11">
        <f>E7+E8</f>
        <v>65071128</v>
      </c>
      <c r="F6" s="12">
        <f>F7+F8</f>
        <v>99683986</v>
      </c>
      <c r="G6" s="13">
        <f>SUM(H6:K6)</f>
        <v>20.825908999999999</v>
      </c>
      <c r="H6" s="14">
        <v>0.42199999999999999</v>
      </c>
      <c r="I6" s="15"/>
      <c r="J6" s="16">
        <f>16.367832+0.016</f>
        <v>16.383831999999998</v>
      </c>
      <c r="K6" s="70">
        <f>3.824077+0.196</f>
        <v>4.0200769999999997</v>
      </c>
      <c r="M6" s="63"/>
    </row>
    <row r="7" spans="1:13" x14ac:dyDescent="0.25">
      <c r="A7" s="68" t="s">
        <v>10</v>
      </c>
      <c r="B7" s="18">
        <f t="shared" si="0"/>
        <v>84817651</v>
      </c>
      <c r="C7" s="58">
        <f>2822138+51790</f>
        <v>2873928</v>
      </c>
      <c r="D7" s="59">
        <v>527848</v>
      </c>
      <c r="E7" s="59">
        <f>56560932+290512</f>
        <v>56851444</v>
      </c>
      <c r="F7" s="64">
        <f>23925586+638845</f>
        <v>24564431</v>
      </c>
      <c r="G7" s="20"/>
      <c r="H7" s="21"/>
      <c r="I7" s="22"/>
      <c r="J7" s="23"/>
      <c r="K7" s="24"/>
    </row>
    <row r="8" spans="1:13" ht="15.75" thickBot="1" x14ac:dyDescent="0.3">
      <c r="A8" s="68" t="s">
        <v>11</v>
      </c>
      <c r="B8" s="25">
        <f t="shared" si="0"/>
        <v>83339239</v>
      </c>
      <c r="C8" s="60">
        <v>0</v>
      </c>
      <c r="D8" s="61">
        <v>0</v>
      </c>
      <c r="E8" s="62">
        <v>8219684</v>
      </c>
      <c r="F8" s="65">
        <f>73307578+1811977</f>
        <v>75119555</v>
      </c>
      <c r="G8" s="20"/>
      <c r="H8" s="28"/>
      <c r="I8" s="29"/>
      <c r="J8" s="29"/>
      <c r="K8" s="30"/>
    </row>
    <row r="9" spans="1:13" x14ac:dyDescent="0.25">
      <c r="A9" s="69" t="s">
        <v>12</v>
      </c>
      <c r="B9" s="31">
        <f t="shared" si="0"/>
        <v>20091267</v>
      </c>
      <c r="C9" s="32">
        <f>C10+C11</f>
        <v>0</v>
      </c>
      <c r="D9" s="33">
        <f>D10+D11</f>
        <v>0</v>
      </c>
      <c r="E9" s="33">
        <f>E10+E11</f>
        <v>8562094</v>
      </c>
      <c r="F9" s="34">
        <f>F10+F11</f>
        <v>11529173</v>
      </c>
      <c r="G9" s="13">
        <f>SUM(H9:K9)</f>
        <v>3.5222449999999998</v>
      </c>
      <c r="H9" s="10"/>
      <c r="I9" s="11"/>
      <c r="J9" s="66">
        <v>3.319245</v>
      </c>
      <c r="K9" s="36">
        <v>0.20300000000000001</v>
      </c>
      <c r="M9" s="63"/>
    </row>
    <row r="10" spans="1:13" x14ac:dyDescent="0.25">
      <c r="A10" s="68" t="s">
        <v>10</v>
      </c>
      <c r="B10" s="18">
        <f t="shared" si="0"/>
        <v>9490964</v>
      </c>
      <c r="C10" s="37">
        <v>0</v>
      </c>
      <c r="D10" s="19">
        <v>0</v>
      </c>
      <c r="E10" s="55">
        <v>7614939</v>
      </c>
      <c r="F10" s="56">
        <v>1876025</v>
      </c>
      <c r="G10" s="40"/>
      <c r="H10" s="21"/>
      <c r="I10" s="22"/>
      <c r="J10" s="22"/>
      <c r="K10" s="24"/>
    </row>
    <row r="11" spans="1:13" ht="15.75" thickBot="1" x14ac:dyDescent="0.3">
      <c r="A11" s="68" t="s">
        <v>11</v>
      </c>
      <c r="B11" s="25">
        <f t="shared" si="0"/>
        <v>10600303</v>
      </c>
      <c r="C11" s="26">
        <v>0</v>
      </c>
      <c r="D11" s="27">
        <v>0</v>
      </c>
      <c r="E11" s="55">
        <v>947155</v>
      </c>
      <c r="F11" s="56">
        <v>9653148</v>
      </c>
      <c r="G11" s="41"/>
      <c r="H11" s="28"/>
      <c r="I11" s="29"/>
      <c r="J11" s="29"/>
      <c r="K11" s="30"/>
    </row>
    <row r="12" spans="1:13" x14ac:dyDescent="0.25">
      <c r="A12" s="69" t="s">
        <v>13</v>
      </c>
      <c r="B12" s="9">
        <f t="shared" si="0"/>
        <v>70230</v>
      </c>
      <c r="C12" s="10"/>
      <c r="D12" s="11"/>
      <c r="E12" s="33">
        <f>E13+E14</f>
        <v>62925</v>
      </c>
      <c r="F12" s="34">
        <f>F13+F14</f>
        <v>7305</v>
      </c>
      <c r="G12" s="13">
        <f>SUM(H12:K12)</f>
        <v>9.4E-2</v>
      </c>
      <c r="H12" s="10"/>
      <c r="I12" s="11"/>
      <c r="J12" s="35">
        <v>9.4E-2</v>
      </c>
      <c r="K12" s="36"/>
      <c r="M12" s="63"/>
    </row>
    <row r="13" spans="1:13" x14ac:dyDescent="0.25">
      <c r="A13" s="68" t="s">
        <v>10</v>
      </c>
      <c r="B13" s="18">
        <f t="shared" si="0"/>
        <v>62925</v>
      </c>
      <c r="C13" s="37">
        <v>0</v>
      </c>
      <c r="D13" s="42">
        <v>0</v>
      </c>
      <c r="E13" s="43">
        <v>62925</v>
      </c>
      <c r="F13" s="44">
        <v>0</v>
      </c>
      <c r="G13" s="40"/>
      <c r="H13" s="21"/>
      <c r="I13" s="22"/>
      <c r="J13" s="22"/>
      <c r="K13" s="24"/>
    </row>
    <row r="14" spans="1:13" ht="15.75" thickBot="1" x14ac:dyDescent="0.3">
      <c r="A14" s="68" t="s">
        <v>11</v>
      </c>
      <c r="B14" s="25">
        <f t="shared" si="0"/>
        <v>7305</v>
      </c>
      <c r="C14" s="26">
        <v>0</v>
      </c>
      <c r="D14" s="45">
        <v>0</v>
      </c>
      <c r="E14" s="45">
        <v>0</v>
      </c>
      <c r="F14" s="57">
        <v>7305</v>
      </c>
      <c r="G14" s="41"/>
      <c r="H14" s="28"/>
      <c r="I14" s="29"/>
      <c r="J14" s="29"/>
      <c r="K14" s="30"/>
    </row>
    <row r="15" spans="1:13" x14ac:dyDescent="0.25">
      <c r="A15" s="69" t="s">
        <v>14</v>
      </c>
      <c r="B15" s="31">
        <f t="shared" si="0"/>
        <v>96466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65645</v>
      </c>
      <c r="G15" s="13">
        <f>SUM(H15:K15)</f>
        <v>0.15</v>
      </c>
      <c r="H15" s="10"/>
      <c r="I15" s="11"/>
      <c r="J15" s="35">
        <v>4.8000000000000001E-2</v>
      </c>
      <c r="K15" s="36">
        <v>0.10199999999999999</v>
      </c>
      <c r="M15" s="63"/>
    </row>
    <row r="16" spans="1:13" x14ac:dyDescent="0.25">
      <c r="A16" s="68" t="s">
        <v>10</v>
      </c>
      <c r="B16" s="47">
        <f t="shared" si="0"/>
        <v>96466</v>
      </c>
      <c r="C16" s="48">
        <v>0</v>
      </c>
      <c r="D16" s="19">
        <v>0</v>
      </c>
      <c r="E16" s="55">
        <v>30821</v>
      </c>
      <c r="F16" s="56">
        <v>65645</v>
      </c>
      <c r="G16" s="40"/>
      <c r="H16" s="21"/>
      <c r="I16" s="22"/>
      <c r="J16" s="22"/>
      <c r="K16" s="24"/>
    </row>
    <row r="17" spans="1:13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3" x14ac:dyDescent="0.25">
      <c r="A18" s="69" t="s">
        <v>15</v>
      </c>
      <c r="B18" s="31">
        <f t="shared" si="0"/>
        <v>330985</v>
      </c>
      <c r="C18" s="32">
        <f>C19+C20</f>
        <v>0</v>
      </c>
      <c r="D18" s="33">
        <f>D19+D20</f>
        <v>0</v>
      </c>
      <c r="E18" s="33">
        <f>E19+E20</f>
        <v>22430</v>
      </c>
      <c r="F18" s="34">
        <f>F19+F20</f>
        <v>308555</v>
      </c>
      <c r="G18" s="13">
        <f>SUM(H18:K18)</f>
        <v>6.0000000000000001E-3</v>
      </c>
      <c r="H18" s="10"/>
      <c r="I18" s="11"/>
      <c r="J18" s="35"/>
      <c r="K18" s="36">
        <v>6.0000000000000001E-3</v>
      </c>
      <c r="M18" s="63"/>
    </row>
    <row r="19" spans="1:13" x14ac:dyDescent="0.25">
      <c r="A19" s="68" t="s">
        <v>10</v>
      </c>
      <c r="B19" s="47">
        <f t="shared" si="0"/>
        <v>136279</v>
      </c>
      <c r="C19" s="48">
        <v>0</v>
      </c>
      <c r="D19" s="38">
        <v>0</v>
      </c>
      <c r="E19" s="55">
        <v>22430</v>
      </c>
      <c r="F19" s="56">
        <v>113849</v>
      </c>
      <c r="G19" s="40"/>
      <c r="H19" s="21"/>
      <c r="I19" s="22"/>
      <c r="J19" s="22"/>
      <c r="K19" s="24"/>
    </row>
    <row r="20" spans="1:13" ht="15.75" thickBot="1" x14ac:dyDescent="0.3">
      <c r="A20" s="68" t="s">
        <v>11</v>
      </c>
      <c r="B20" s="49">
        <f t="shared" si="0"/>
        <v>194706</v>
      </c>
      <c r="C20" s="50">
        <v>0</v>
      </c>
      <c r="D20" s="27">
        <v>0</v>
      </c>
      <c r="E20" s="55">
        <v>0</v>
      </c>
      <c r="F20" s="57">
        <v>194706</v>
      </c>
      <c r="G20" s="41"/>
      <c r="H20" s="28"/>
      <c r="I20" s="29"/>
      <c r="J20" s="29"/>
      <c r="K20" s="30"/>
    </row>
    <row r="21" spans="1:13" x14ac:dyDescent="0.25">
      <c r="A21" s="69" t="s">
        <v>16</v>
      </c>
      <c r="B21" s="9">
        <f t="shared" si="0"/>
        <v>284879</v>
      </c>
      <c r="C21" s="51"/>
      <c r="D21" s="33"/>
      <c r="E21" s="33">
        <f>E22+E23</f>
        <v>284879</v>
      </c>
      <c r="F21" s="34">
        <f>F22+F23</f>
        <v>0</v>
      </c>
      <c r="G21" s="13">
        <f>SUM(H21:K21)</f>
        <v>1.2E-2</v>
      </c>
      <c r="H21" s="10"/>
      <c r="I21" s="11"/>
      <c r="J21" s="35">
        <v>1.2E-2</v>
      </c>
      <c r="K21" s="36"/>
      <c r="M21" s="63"/>
    </row>
    <row r="22" spans="1:13" x14ac:dyDescent="0.25">
      <c r="A22" s="68" t="s">
        <v>10</v>
      </c>
      <c r="B22" s="18">
        <f t="shared" si="0"/>
        <v>284879</v>
      </c>
      <c r="C22" s="37">
        <v>0</v>
      </c>
      <c r="D22" s="19">
        <v>0</v>
      </c>
      <c r="E22" s="55">
        <v>284879</v>
      </c>
      <c r="F22" s="39">
        <v>0</v>
      </c>
      <c r="G22" s="40"/>
      <c r="H22" s="21"/>
      <c r="I22" s="22"/>
      <c r="J22" s="22"/>
      <c r="K22" s="24"/>
    </row>
    <row r="23" spans="1:13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3" x14ac:dyDescent="0.25">
      <c r="A24" s="67" t="s">
        <v>17</v>
      </c>
      <c r="B24" s="9">
        <f t="shared" si="0"/>
        <v>430348</v>
      </c>
      <c r="C24" s="52"/>
      <c r="D24" s="35"/>
      <c r="E24" s="33">
        <f>E25+E26</f>
        <v>430348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  <c r="M24" s="63"/>
    </row>
    <row r="25" spans="1:13" x14ac:dyDescent="0.25">
      <c r="A25" s="71" t="s">
        <v>10</v>
      </c>
      <c r="B25" s="18">
        <f t="shared" si="0"/>
        <v>430348</v>
      </c>
      <c r="C25" s="37">
        <v>0</v>
      </c>
      <c r="D25" s="19">
        <v>0</v>
      </c>
      <c r="E25" s="55">
        <v>430348</v>
      </c>
      <c r="F25" s="39">
        <v>0</v>
      </c>
      <c r="G25" s="40"/>
      <c r="H25" s="21"/>
      <c r="I25" s="22"/>
      <c r="J25" s="22"/>
      <c r="K25" s="24"/>
    </row>
    <row r="26" spans="1:13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3" x14ac:dyDescent="0.25">
      <c r="B28" s="63"/>
    </row>
    <row r="29" spans="1:13" x14ac:dyDescent="0.25">
      <c r="B29" s="63"/>
      <c r="C29" s="63"/>
    </row>
    <row r="30" spans="1:13" x14ac:dyDescent="0.25">
      <c r="B30" s="63"/>
    </row>
    <row r="31" spans="1:13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L27" sqref="L27"/>
    </sheetView>
  </sheetViews>
  <sheetFormatPr defaultRowHeight="15" x14ac:dyDescent="0.25"/>
  <cols>
    <col min="1" max="1" width="64.28515625" customWidth="1"/>
    <col min="2" max="2" width="11.28515625" bestFit="1" customWidth="1"/>
    <col min="3" max="3" width="10.7109375" customWidth="1"/>
    <col min="4" max="4" width="10.28515625" bestFit="1" customWidth="1"/>
    <col min="5" max="5" width="12.28515625" customWidth="1"/>
    <col min="6" max="6" width="11.28515625" bestFit="1" customWidth="1"/>
  </cols>
  <sheetData>
    <row r="1" spans="1:13" ht="15" customHeight="1" x14ac:dyDescent="0.25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3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3" ht="15.75" thickBo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3" ht="15.75" customHeight="1" thickBot="1" x14ac:dyDescent="0.3">
      <c r="A4" s="74" t="s">
        <v>1</v>
      </c>
      <c r="B4" s="76" t="s">
        <v>2</v>
      </c>
      <c r="C4" s="77"/>
      <c r="D4" s="77"/>
      <c r="E4" s="77"/>
      <c r="F4" s="78"/>
      <c r="G4" s="76" t="s">
        <v>3</v>
      </c>
      <c r="H4" s="77"/>
      <c r="I4" s="77"/>
      <c r="J4" s="77"/>
      <c r="K4" s="78"/>
    </row>
    <row r="5" spans="1:13" ht="15.75" thickBot="1" x14ac:dyDescent="0.3">
      <c r="A5" s="75"/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  <c r="G5" s="1" t="s">
        <v>4</v>
      </c>
      <c r="H5" s="5" t="s">
        <v>5</v>
      </c>
      <c r="I5" s="6" t="s">
        <v>6</v>
      </c>
      <c r="J5" s="3" t="s">
        <v>7</v>
      </c>
      <c r="K5" s="7" t="s">
        <v>8</v>
      </c>
    </row>
    <row r="6" spans="1:13" x14ac:dyDescent="0.25">
      <c r="A6" s="69" t="s">
        <v>9</v>
      </c>
      <c r="B6" s="9">
        <f t="shared" ref="B6:B26" si="0">C6+D6+E6+F6</f>
        <v>163250440</v>
      </c>
      <c r="C6" s="10">
        <f>C7+C8</f>
        <v>2768832</v>
      </c>
      <c r="D6" s="11">
        <f>D7+D8</f>
        <v>777499</v>
      </c>
      <c r="E6" s="11">
        <f>E7+E8</f>
        <v>64385198</v>
      </c>
      <c r="F6" s="12">
        <f>F7+F8</f>
        <v>95318911</v>
      </c>
      <c r="G6" s="13">
        <f>SUM(H6:K6)</f>
        <v>22.335884000000004</v>
      </c>
      <c r="H6" s="14">
        <v>0.44400000000000001</v>
      </c>
      <c r="I6" s="15"/>
      <c r="J6" s="16">
        <v>17.733407000000003</v>
      </c>
      <c r="K6" s="70">
        <v>4.1584770000000004</v>
      </c>
      <c r="M6" s="63"/>
    </row>
    <row r="7" spans="1:13" x14ac:dyDescent="0.25">
      <c r="A7" s="68" t="s">
        <v>10</v>
      </c>
      <c r="B7" s="18">
        <f t="shared" si="0"/>
        <v>85551043</v>
      </c>
      <c r="C7" s="58">
        <f>2738550+30282</f>
        <v>2768832</v>
      </c>
      <c r="D7" s="59">
        <v>777499</v>
      </c>
      <c r="E7" s="59">
        <f>56924171+263148</f>
        <v>57187319</v>
      </c>
      <c r="F7" s="64">
        <f>24299817+517576</f>
        <v>24817393</v>
      </c>
      <c r="G7" s="20"/>
      <c r="H7" s="21"/>
      <c r="I7" s="22"/>
      <c r="J7" s="23"/>
      <c r="K7" s="24"/>
    </row>
    <row r="8" spans="1:13" ht="15.75" thickBot="1" x14ac:dyDescent="0.3">
      <c r="A8" s="68" t="s">
        <v>11</v>
      </c>
      <c r="B8" s="25">
        <f t="shared" si="0"/>
        <v>77699397</v>
      </c>
      <c r="C8" s="60">
        <v>0</v>
      </c>
      <c r="D8" s="61">
        <v>0</v>
      </c>
      <c r="E8" s="62">
        <v>7197879</v>
      </c>
      <c r="F8" s="65">
        <f>68786584+1714934</f>
        <v>70501518</v>
      </c>
      <c r="G8" s="20"/>
      <c r="H8" s="28"/>
      <c r="I8" s="29"/>
      <c r="J8" s="29"/>
      <c r="K8" s="30"/>
    </row>
    <row r="9" spans="1:13" x14ac:dyDescent="0.25">
      <c r="A9" s="69" t="s">
        <v>12</v>
      </c>
      <c r="B9" s="31">
        <f t="shared" si="0"/>
        <v>17719747</v>
      </c>
      <c r="C9" s="32">
        <f>C10+C11</f>
        <v>0</v>
      </c>
      <c r="D9" s="33">
        <f>D10+D11</f>
        <v>0</v>
      </c>
      <c r="E9" s="33">
        <f>E10+E11</f>
        <v>8130710</v>
      </c>
      <c r="F9" s="34">
        <f>F10+F11</f>
        <v>9589037</v>
      </c>
      <c r="G9" s="13">
        <f>SUM(H9:K9)</f>
        <v>3.7573029999999998</v>
      </c>
      <c r="H9" s="10"/>
      <c r="I9" s="11"/>
      <c r="J9" s="66">
        <v>3.566303</v>
      </c>
      <c r="K9" s="36">
        <v>0.191</v>
      </c>
      <c r="M9" s="63"/>
    </row>
    <row r="10" spans="1:13" x14ac:dyDescent="0.25">
      <c r="A10" s="68" t="s">
        <v>10</v>
      </c>
      <c r="B10" s="18">
        <f t="shared" si="0"/>
        <v>8779297</v>
      </c>
      <c r="C10" s="37">
        <v>0</v>
      </c>
      <c r="D10" s="19">
        <v>0</v>
      </c>
      <c r="E10" s="55">
        <v>7215991</v>
      </c>
      <c r="F10" s="56">
        <v>1563306</v>
      </c>
      <c r="G10" s="40"/>
      <c r="H10" s="21"/>
      <c r="I10" s="22"/>
      <c r="J10" s="22"/>
      <c r="K10" s="24"/>
    </row>
    <row r="11" spans="1:13" ht="15.75" thickBot="1" x14ac:dyDescent="0.3">
      <c r="A11" s="68" t="s">
        <v>11</v>
      </c>
      <c r="B11" s="25">
        <f t="shared" si="0"/>
        <v>8940450</v>
      </c>
      <c r="C11" s="26">
        <v>0</v>
      </c>
      <c r="D11" s="27">
        <v>0</v>
      </c>
      <c r="E11" s="55">
        <v>914719</v>
      </c>
      <c r="F11" s="56">
        <v>8025731</v>
      </c>
      <c r="G11" s="41"/>
      <c r="H11" s="28"/>
      <c r="I11" s="29"/>
      <c r="J11" s="29"/>
      <c r="K11" s="30"/>
    </row>
    <row r="12" spans="1:13" x14ac:dyDescent="0.25">
      <c r="A12" s="69" t="s">
        <v>13</v>
      </c>
      <c r="B12" s="9">
        <f t="shared" si="0"/>
        <v>83126</v>
      </c>
      <c r="C12" s="10"/>
      <c r="D12" s="11"/>
      <c r="E12" s="33">
        <f>E13+E14</f>
        <v>74973</v>
      </c>
      <c r="F12" s="34">
        <f>F13+F14</f>
        <v>8153</v>
      </c>
      <c r="G12" s="13">
        <f>SUM(H12:K12)</f>
        <v>0.106</v>
      </c>
      <c r="H12" s="10"/>
      <c r="I12" s="11"/>
      <c r="J12" s="35">
        <v>0.106</v>
      </c>
      <c r="K12" s="36"/>
      <c r="M12" s="63"/>
    </row>
    <row r="13" spans="1:13" x14ac:dyDescent="0.25">
      <c r="A13" s="68" t="s">
        <v>10</v>
      </c>
      <c r="B13" s="18">
        <f t="shared" si="0"/>
        <v>74973</v>
      </c>
      <c r="C13" s="37">
        <v>0</v>
      </c>
      <c r="D13" s="42">
        <v>0</v>
      </c>
      <c r="E13" s="43">
        <v>74973</v>
      </c>
      <c r="F13" s="44">
        <v>0</v>
      </c>
      <c r="G13" s="40"/>
      <c r="H13" s="21"/>
      <c r="I13" s="22"/>
      <c r="J13" s="22"/>
      <c r="K13" s="24"/>
    </row>
    <row r="14" spans="1:13" ht="15.75" thickBot="1" x14ac:dyDescent="0.3">
      <c r="A14" s="68" t="s">
        <v>11</v>
      </c>
      <c r="B14" s="25">
        <f t="shared" si="0"/>
        <v>8153</v>
      </c>
      <c r="C14" s="26">
        <v>0</v>
      </c>
      <c r="D14" s="45">
        <v>0</v>
      </c>
      <c r="E14" s="45">
        <v>0</v>
      </c>
      <c r="F14" s="57">
        <v>8153</v>
      </c>
      <c r="G14" s="41"/>
      <c r="H14" s="28"/>
      <c r="I14" s="29"/>
      <c r="J14" s="29"/>
      <c r="K14" s="30"/>
    </row>
    <row r="15" spans="1:13" x14ac:dyDescent="0.25">
      <c r="A15" s="69" t="s">
        <v>14</v>
      </c>
      <c r="B15" s="31">
        <f t="shared" si="0"/>
        <v>96857</v>
      </c>
      <c r="C15" s="32">
        <f>C16+C17</f>
        <v>0</v>
      </c>
      <c r="D15" s="33">
        <f>D16+D17</f>
        <v>0</v>
      </c>
      <c r="E15" s="33">
        <f>E16+E17</f>
        <v>30821</v>
      </c>
      <c r="F15" s="34">
        <f>F16+F17</f>
        <v>66036</v>
      </c>
      <c r="G15" s="13">
        <f>SUM(H15:K15)</f>
        <v>0.14900000000000002</v>
      </c>
      <c r="H15" s="10"/>
      <c r="I15" s="11"/>
      <c r="J15" s="35">
        <v>4.8000000000000001E-2</v>
      </c>
      <c r="K15" s="36">
        <v>0.10100000000000001</v>
      </c>
      <c r="M15" s="63"/>
    </row>
    <row r="16" spans="1:13" x14ac:dyDescent="0.25">
      <c r="A16" s="68" t="s">
        <v>10</v>
      </c>
      <c r="B16" s="47">
        <f t="shared" si="0"/>
        <v>96857</v>
      </c>
      <c r="C16" s="48">
        <v>0</v>
      </c>
      <c r="D16" s="19">
        <v>0</v>
      </c>
      <c r="E16" s="55">
        <v>30821</v>
      </c>
      <c r="F16" s="56">
        <v>66036</v>
      </c>
      <c r="G16" s="40"/>
      <c r="H16" s="21"/>
      <c r="I16" s="22"/>
      <c r="J16" s="22"/>
      <c r="K16" s="24"/>
    </row>
    <row r="17" spans="1:13" ht="15.75" thickBot="1" x14ac:dyDescent="0.3">
      <c r="A17" s="68" t="s">
        <v>11</v>
      </c>
      <c r="B17" s="49">
        <f t="shared" si="0"/>
        <v>0</v>
      </c>
      <c r="C17" s="50">
        <v>0</v>
      </c>
      <c r="D17" s="27">
        <v>0</v>
      </c>
      <c r="E17" s="27">
        <v>0</v>
      </c>
      <c r="F17" s="46">
        <v>0</v>
      </c>
      <c r="G17" s="41"/>
      <c r="H17" s="28"/>
      <c r="I17" s="29"/>
      <c r="J17" s="29"/>
      <c r="K17" s="30"/>
    </row>
    <row r="18" spans="1:13" x14ac:dyDescent="0.25">
      <c r="A18" s="69" t="s">
        <v>15</v>
      </c>
      <c r="B18" s="31">
        <f t="shared" si="0"/>
        <v>221413</v>
      </c>
      <c r="C18" s="32">
        <f>C19+C20</f>
        <v>0</v>
      </c>
      <c r="D18" s="33">
        <f>D19+D20</f>
        <v>0</v>
      </c>
      <c r="E18" s="33">
        <f>E19+E20</f>
        <v>21286</v>
      </c>
      <c r="F18" s="34">
        <f>F19+F20</f>
        <v>200127</v>
      </c>
      <c r="G18" s="13">
        <f>SUM(H18:K18)</f>
        <v>6.0000000000000001E-3</v>
      </c>
      <c r="H18" s="10"/>
      <c r="I18" s="11"/>
      <c r="J18" s="35"/>
      <c r="K18" s="36">
        <v>6.0000000000000001E-3</v>
      </c>
      <c r="M18" s="63"/>
    </row>
    <row r="19" spans="1:13" x14ac:dyDescent="0.25">
      <c r="A19" s="68" t="s">
        <v>10</v>
      </c>
      <c r="B19" s="47">
        <f t="shared" si="0"/>
        <v>103554</v>
      </c>
      <c r="C19" s="48">
        <v>0</v>
      </c>
      <c r="D19" s="38">
        <v>0</v>
      </c>
      <c r="E19" s="55">
        <v>21286</v>
      </c>
      <c r="F19" s="56">
        <f>78564+3704</f>
        <v>82268</v>
      </c>
      <c r="G19" s="40"/>
      <c r="H19" s="21"/>
      <c r="I19" s="22"/>
      <c r="J19" s="22"/>
      <c r="K19" s="24"/>
    </row>
    <row r="20" spans="1:13" ht="15.75" thickBot="1" x14ac:dyDescent="0.3">
      <c r="A20" s="68" t="s">
        <v>11</v>
      </c>
      <c r="B20" s="49">
        <f t="shared" si="0"/>
        <v>117859</v>
      </c>
      <c r="C20" s="50">
        <v>0</v>
      </c>
      <c r="D20" s="27">
        <v>0</v>
      </c>
      <c r="E20" s="55">
        <v>0</v>
      </c>
      <c r="F20" s="57">
        <f>51475+66384</f>
        <v>117859</v>
      </c>
      <c r="G20" s="41"/>
      <c r="H20" s="28"/>
      <c r="I20" s="29"/>
      <c r="J20" s="29"/>
      <c r="K20" s="30"/>
    </row>
    <row r="21" spans="1:13" x14ac:dyDescent="0.25">
      <c r="A21" s="69" t="s">
        <v>16</v>
      </c>
      <c r="B21" s="9">
        <f t="shared" si="0"/>
        <v>305786</v>
      </c>
      <c r="C21" s="51"/>
      <c r="D21" s="33"/>
      <c r="E21" s="33">
        <f>E22+E23</f>
        <v>305786</v>
      </c>
      <c r="F21" s="34">
        <f>F22+F23</f>
        <v>0</v>
      </c>
      <c r="G21" s="13">
        <f>SUM(H21:K21)</f>
        <v>1.2E-2</v>
      </c>
      <c r="H21" s="10"/>
      <c r="I21" s="11"/>
      <c r="J21" s="35">
        <v>1.2E-2</v>
      </c>
      <c r="K21" s="36"/>
      <c r="M21" s="63"/>
    </row>
    <row r="22" spans="1:13" x14ac:dyDescent="0.25">
      <c r="A22" s="68" t="s">
        <v>10</v>
      </c>
      <c r="B22" s="18">
        <f t="shared" si="0"/>
        <v>305786</v>
      </c>
      <c r="C22" s="37">
        <v>0</v>
      </c>
      <c r="D22" s="19">
        <v>0</v>
      </c>
      <c r="E22" s="55">
        <v>305786</v>
      </c>
      <c r="F22" s="39">
        <v>0</v>
      </c>
      <c r="G22" s="40"/>
      <c r="H22" s="21"/>
      <c r="I22" s="22"/>
      <c r="J22" s="22"/>
      <c r="K22" s="24"/>
    </row>
    <row r="23" spans="1:13" ht="15.75" thickBot="1" x14ac:dyDescent="0.3">
      <c r="A23" s="68" t="s">
        <v>11</v>
      </c>
      <c r="B23" s="25">
        <f t="shared" si="0"/>
        <v>0</v>
      </c>
      <c r="C23" s="26">
        <v>0</v>
      </c>
      <c r="D23" s="27">
        <v>0</v>
      </c>
      <c r="E23" s="27">
        <v>0</v>
      </c>
      <c r="F23" s="46">
        <v>0</v>
      </c>
      <c r="G23" s="41"/>
      <c r="H23" s="28"/>
      <c r="I23" s="29"/>
      <c r="J23" s="29"/>
      <c r="K23" s="30"/>
    </row>
    <row r="24" spans="1:13" x14ac:dyDescent="0.25">
      <c r="A24" s="67" t="s">
        <v>17</v>
      </c>
      <c r="B24" s="9">
        <f t="shared" si="0"/>
        <v>439496</v>
      </c>
      <c r="C24" s="52"/>
      <c r="D24" s="35"/>
      <c r="E24" s="33">
        <f>E25+E26</f>
        <v>439496</v>
      </c>
      <c r="F24" s="34">
        <f>F25+F26</f>
        <v>0</v>
      </c>
      <c r="G24" s="13">
        <f>SUM(H24:K24)</f>
        <v>0</v>
      </c>
      <c r="H24" s="10"/>
      <c r="I24" s="11"/>
      <c r="J24" s="35"/>
      <c r="K24" s="36"/>
      <c r="M24" s="63"/>
    </row>
    <row r="25" spans="1:13" x14ac:dyDescent="0.25">
      <c r="A25" s="71" t="s">
        <v>10</v>
      </c>
      <c r="B25" s="18">
        <f t="shared" si="0"/>
        <v>439496</v>
      </c>
      <c r="C25" s="37">
        <v>0</v>
      </c>
      <c r="D25" s="19">
        <v>0</v>
      </c>
      <c r="E25" s="55">
        <v>439496</v>
      </c>
      <c r="F25" s="39">
        <v>0</v>
      </c>
      <c r="G25" s="40"/>
      <c r="H25" s="21"/>
      <c r="I25" s="22"/>
      <c r="J25" s="22"/>
      <c r="K25" s="24"/>
    </row>
    <row r="26" spans="1:13" ht="15.75" thickBot="1" x14ac:dyDescent="0.3">
      <c r="A26" s="54" t="s">
        <v>11</v>
      </c>
      <c r="B26" s="25">
        <f t="shared" si="0"/>
        <v>0</v>
      </c>
      <c r="C26" s="26">
        <v>0</v>
      </c>
      <c r="D26" s="27">
        <v>0</v>
      </c>
      <c r="E26" s="27">
        <v>0</v>
      </c>
      <c r="F26" s="46">
        <v>0</v>
      </c>
      <c r="G26" s="41"/>
      <c r="H26" s="28"/>
      <c r="I26" s="29"/>
      <c r="J26" s="29"/>
      <c r="K26" s="30"/>
    </row>
    <row r="28" spans="1:13" x14ac:dyDescent="0.25">
      <c r="B28" s="63"/>
    </row>
    <row r="29" spans="1:13" x14ac:dyDescent="0.25">
      <c r="B29" s="63"/>
      <c r="C29" s="63"/>
    </row>
    <row r="30" spans="1:13" x14ac:dyDescent="0.25">
      <c r="B30" s="63"/>
    </row>
    <row r="31" spans="1:13" x14ac:dyDescent="0.25">
      <c r="B31" s="63"/>
    </row>
  </sheetData>
  <sheetProtection selectLockedCells="1"/>
  <mergeCells count="5">
    <mergeCell ref="A1:K2"/>
    <mergeCell ref="A3:K3"/>
    <mergeCell ref="A4:A5"/>
    <mergeCell ref="B4:F4"/>
    <mergeCell ref="G4:K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Хямяляйнен Ольга Алексеевна</cp:lastModifiedBy>
  <cp:lastPrinted>2022-05-06T12:26:33Z</cp:lastPrinted>
  <dcterms:created xsi:type="dcterms:W3CDTF">2020-02-10T10:59:05Z</dcterms:created>
  <dcterms:modified xsi:type="dcterms:W3CDTF">2022-08-16T14:45:07Z</dcterms:modified>
</cp:coreProperties>
</file>