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1\"/>
    </mc:Choice>
  </mc:AlternateContent>
  <bookViews>
    <workbookView xWindow="0" yWindow="0" windowWidth="28800" windowHeight="14235" firstSheet="1" activeTab="10"/>
  </bookViews>
  <sheets>
    <sheet name="январь 2021" sheetId="1" r:id="rId1"/>
    <sheet name="февраль 2021" sheetId="3" r:id="rId2"/>
    <sheet name="март 2021" sheetId="4" r:id="rId3"/>
    <sheet name="апрель 2021" sheetId="5" r:id="rId4"/>
    <sheet name="май 2021" sheetId="6" r:id="rId5"/>
    <sheet name="июнь 2021" sheetId="7" r:id="rId6"/>
    <sheet name="июль 2021" sheetId="8" r:id="rId7"/>
    <sheet name="август 2021" sheetId="9" r:id="rId8"/>
    <sheet name="сентябрь 2021" sheetId="10" r:id="rId9"/>
    <sheet name="октябрь 2021" sheetId="11" r:id="rId10"/>
    <sheet name="ноябрь 2021" sheetId="12" r:id="rId11"/>
  </sheets>
  <definedNames>
    <definedName name="asda" localSheetId="7">#REF!</definedName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10">#REF!</definedName>
    <definedName name="asda" localSheetId="9">#REF!</definedName>
    <definedName name="asda" localSheetId="8">#REF!</definedName>
    <definedName name="asda" localSheetId="1">#REF!</definedName>
    <definedName name="asda" localSheetId="0">#REF!</definedName>
    <definedName name="asda">#REF!</definedName>
    <definedName name="l" localSheetId="7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10">#REF!</definedName>
    <definedName name="l" localSheetId="9">#REF!</definedName>
    <definedName name="l" localSheetId="8">#REF!</definedName>
    <definedName name="l" localSheetId="1">#REF!</definedName>
    <definedName name="l" localSheetId="0">#REF!</definedName>
    <definedName name="l">#REF!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 localSheetId="0">#REF!</definedName>
    <definedName name="_xlnm.Database">#REF!</definedName>
    <definedName name="рп" localSheetId="7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10">#REF!</definedName>
    <definedName name="рп" localSheetId="9">#REF!</definedName>
    <definedName name="рп" localSheetId="8">#REF!</definedName>
    <definedName name="рп" localSheetId="1">#REF!</definedName>
    <definedName name="рп" localSheetId="0">#REF!</definedName>
    <definedName name="рп">#REF!</definedName>
    <definedName name="сент" localSheetId="7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10">#REF!</definedName>
    <definedName name="сент" localSheetId="9">#REF!</definedName>
    <definedName name="сент" localSheetId="8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G12" i="12"/>
  <c r="B26" i="12"/>
  <c r="B25" i="12"/>
  <c r="G24" i="12"/>
  <c r="F24" i="12"/>
  <c r="B24" i="12" s="1"/>
  <c r="E24" i="12"/>
  <c r="B23" i="12"/>
  <c r="B22" i="12"/>
  <c r="F21" i="12"/>
  <c r="E21" i="12"/>
  <c r="B21" i="12" s="1"/>
  <c r="B20" i="12"/>
  <c r="B19" i="12"/>
  <c r="G18" i="12"/>
  <c r="F18" i="12"/>
  <c r="E18" i="12"/>
  <c r="B18" i="12" s="1"/>
  <c r="D18" i="12"/>
  <c r="C18" i="12"/>
  <c r="B17" i="12"/>
  <c r="B16" i="12"/>
  <c r="G15" i="12"/>
  <c r="F15" i="12"/>
  <c r="E15" i="12"/>
  <c r="D15" i="12"/>
  <c r="B15" i="12" s="1"/>
  <c r="C15" i="12"/>
  <c r="B14" i="12"/>
  <c r="B13" i="12"/>
  <c r="F12" i="12"/>
  <c r="B12" i="12" s="1"/>
  <c r="E12" i="12"/>
  <c r="B11" i="12"/>
  <c r="B10" i="12"/>
  <c r="G9" i="12"/>
  <c r="F9" i="12"/>
  <c r="E9" i="12"/>
  <c r="D9" i="12"/>
  <c r="C9" i="12"/>
  <c r="B8" i="12"/>
  <c r="E6" i="12"/>
  <c r="B7" i="12"/>
  <c r="F6" i="12"/>
  <c r="D6" i="12"/>
  <c r="C6" i="12"/>
  <c r="G6" i="12" l="1"/>
  <c r="B9" i="12"/>
  <c r="B6" i="12"/>
  <c r="F8" i="11"/>
  <c r="F7" i="11"/>
  <c r="E7" i="11"/>
  <c r="C7" i="11"/>
  <c r="K6" i="11"/>
  <c r="J6" i="11"/>
  <c r="G21" i="11" l="1"/>
  <c r="G12" i="11"/>
  <c r="B16" i="11"/>
  <c r="B26" i="11"/>
  <c r="B25" i="11"/>
  <c r="G24" i="11"/>
  <c r="F24" i="11"/>
  <c r="E24" i="11"/>
  <c r="B24" i="11" s="1"/>
  <c r="B23" i="11"/>
  <c r="B22" i="11"/>
  <c r="F21" i="11"/>
  <c r="E21" i="11"/>
  <c r="B21" i="11"/>
  <c r="B20" i="11"/>
  <c r="B19" i="11"/>
  <c r="G18" i="11"/>
  <c r="F18" i="11"/>
  <c r="E18" i="11"/>
  <c r="B18" i="11" s="1"/>
  <c r="D18" i="11"/>
  <c r="C18" i="11"/>
  <c r="B17" i="11"/>
  <c r="F15" i="11"/>
  <c r="E15" i="11"/>
  <c r="D15" i="11"/>
  <c r="B14" i="11"/>
  <c r="B13" i="11"/>
  <c r="F12" i="11"/>
  <c r="B12" i="11" s="1"/>
  <c r="E12" i="11"/>
  <c r="B11" i="11"/>
  <c r="B10" i="11"/>
  <c r="F9" i="11"/>
  <c r="E9" i="11"/>
  <c r="D9" i="11"/>
  <c r="C9" i="11"/>
  <c r="B8" i="11"/>
  <c r="B7" i="11"/>
  <c r="F6" i="11"/>
  <c r="E6" i="11"/>
  <c r="D6" i="11"/>
  <c r="C6" i="11"/>
  <c r="B9" i="11" l="1"/>
  <c r="G15" i="11"/>
  <c r="G9" i="11"/>
  <c r="G6" i="11"/>
  <c r="C15" i="11"/>
  <c r="B15" i="11" s="1"/>
  <c r="B6" i="11"/>
  <c r="F8" i="10"/>
  <c r="F7" i="10"/>
  <c r="E7" i="10"/>
  <c r="C7" i="10"/>
  <c r="G21" i="10" l="1"/>
  <c r="G18" i="10"/>
  <c r="G15" i="10"/>
  <c r="G12" i="10"/>
  <c r="B26" i="10"/>
  <c r="B25" i="10"/>
  <c r="G24" i="10"/>
  <c r="F24" i="10"/>
  <c r="E24" i="10"/>
  <c r="B23" i="10"/>
  <c r="B22" i="10"/>
  <c r="F21" i="10"/>
  <c r="E21" i="10"/>
  <c r="B21" i="10" s="1"/>
  <c r="B20" i="10"/>
  <c r="B19" i="10"/>
  <c r="F18" i="10"/>
  <c r="E18" i="10"/>
  <c r="D18" i="10"/>
  <c r="C18" i="10"/>
  <c r="B17" i="10"/>
  <c r="B16" i="10"/>
  <c r="F15" i="10"/>
  <c r="E15" i="10"/>
  <c r="D15" i="10"/>
  <c r="C15" i="10"/>
  <c r="B14" i="10"/>
  <c r="B13" i="10"/>
  <c r="F12" i="10"/>
  <c r="E12" i="10"/>
  <c r="B11" i="10"/>
  <c r="B10" i="10"/>
  <c r="F9" i="10"/>
  <c r="E9" i="10"/>
  <c r="D9" i="10"/>
  <c r="C9" i="10"/>
  <c r="B8" i="10"/>
  <c r="F6" i="10"/>
  <c r="E6" i="10"/>
  <c r="D6" i="10"/>
  <c r="B9" i="10" l="1"/>
  <c r="B12" i="10"/>
  <c r="G9" i="10"/>
  <c r="G6" i="10"/>
  <c r="B24" i="10"/>
  <c r="B18" i="10"/>
  <c r="B15" i="10"/>
  <c r="K6" i="9"/>
  <c r="J6" i="9"/>
  <c r="J21" i="9"/>
  <c r="B26" i="9" l="1"/>
  <c r="B25" i="9"/>
  <c r="G24" i="9"/>
  <c r="F24" i="9"/>
  <c r="E24" i="9"/>
  <c r="B24" i="9" s="1"/>
  <c r="B23" i="9"/>
  <c r="B22" i="9"/>
  <c r="G21" i="9"/>
  <c r="F21" i="9"/>
  <c r="E21" i="9"/>
  <c r="B21" i="9"/>
  <c r="B20" i="9"/>
  <c r="B19" i="9"/>
  <c r="F18" i="9"/>
  <c r="G18" i="9" s="1"/>
  <c r="E18" i="9"/>
  <c r="D18" i="9"/>
  <c r="C18" i="9"/>
  <c r="B17" i="9"/>
  <c r="B16" i="9"/>
  <c r="G15" i="9"/>
  <c r="F15" i="9"/>
  <c r="E15" i="9"/>
  <c r="D15" i="9"/>
  <c r="C15" i="9"/>
  <c r="B14" i="9"/>
  <c r="B13" i="9"/>
  <c r="G12" i="9"/>
  <c r="F12" i="9"/>
  <c r="E12" i="9"/>
  <c r="B12" i="9" s="1"/>
  <c r="B11" i="9"/>
  <c r="B10" i="9"/>
  <c r="F9" i="9"/>
  <c r="E9" i="9"/>
  <c r="D9" i="9"/>
  <c r="C9" i="9"/>
  <c r="B8" i="9"/>
  <c r="B7" i="9"/>
  <c r="E6" i="9"/>
  <c r="D6" i="9"/>
  <c r="C6" i="9"/>
  <c r="B18" i="9" l="1"/>
  <c r="G9" i="9"/>
  <c r="B15" i="9"/>
  <c r="B9" i="9"/>
  <c r="F6" i="9"/>
  <c r="F7" i="6"/>
  <c r="E7" i="6"/>
  <c r="F8" i="3"/>
  <c r="F7" i="3"/>
  <c r="E7" i="3"/>
  <c r="C7" i="3"/>
  <c r="F7" i="1"/>
  <c r="F8" i="1"/>
  <c r="E7" i="1"/>
  <c r="B6" i="9" l="1"/>
  <c r="G6" i="9"/>
  <c r="J6" i="8"/>
  <c r="K6" i="8"/>
  <c r="C7" i="8"/>
  <c r="E7" i="8"/>
  <c r="F7" i="8"/>
  <c r="F8" i="8"/>
  <c r="G18" i="8" l="1"/>
  <c r="G12" i="8"/>
  <c r="G9" i="8"/>
  <c r="B26" i="8"/>
  <c r="B25" i="8"/>
  <c r="G24" i="8"/>
  <c r="F24" i="8"/>
  <c r="B24" i="8" s="1"/>
  <c r="E24" i="8"/>
  <c r="B23" i="8"/>
  <c r="B22" i="8"/>
  <c r="G21" i="8"/>
  <c r="F21" i="8"/>
  <c r="E21" i="8"/>
  <c r="B21" i="8" s="1"/>
  <c r="B20" i="8"/>
  <c r="B19" i="8"/>
  <c r="F18" i="8"/>
  <c r="E18" i="8"/>
  <c r="D18" i="8"/>
  <c r="C18" i="8"/>
  <c r="B17" i="8"/>
  <c r="B16" i="8"/>
  <c r="G15" i="8"/>
  <c r="F15" i="8"/>
  <c r="E15" i="8"/>
  <c r="D15" i="8"/>
  <c r="C15" i="8"/>
  <c r="B15" i="8" s="1"/>
  <c r="B14" i="8"/>
  <c r="B13" i="8"/>
  <c r="F12" i="8"/>
  <c r="E12" i="8"/>
  <c r="B11" i="8"/>
  <c r="B10" i="8"/>
  <c r="F9" i="8"/>
  <c r="E9" i="8"/>
  <c r="D9" i="8"/>
  <c r="C9" i="8"/>
  <c r="B8" i="8"/>
  <c r="B7" i="8"/>
  <c r="F6" i="8"/>
  <c r="E6" i="8"/>
  <c r="D6" i="8"/>
  <c r="C6" i="8"/>
  <c r="B18" i="8" l="1"/>
  <c r="B6" i="8"/>
  <c r="B12" i="8"/>
  <c r="B9" i="8"/>
  <c r="J6" i="7"/>
  <c r="K6" i="7"/>
  <c r="G9" i="7" l="1"/>
  <c r="G18" i="7"/>
  <c r="G12" i="7"/>
  <c r="B26" i="7"/>
  <c r="B25" i="7"/>
  <c r="G24" i="7"/>
  <c r="F24" i="7"/>
  <c r="E24" i="7"/>
  <c r="B23" i="7"/>
  <c r="B22" i="7"/>
  <c r="G21" i="7"/>
  <c r="F21" i="7"/>
  <c r="E21" i="7"/>
  <c r="B21" i="7"/>
  <c r="B20" i="7"/>
  <c r="B19" i="7"/>
  <c r="F18" i="7"/>
  <c r="E18" i="7"/>
  <c r="B18" i="7" s="1"/>
  <c r="D18" i="7"/>
  <c r="C18" i="7"/>
  <c r="B17" i="7"/>
  <c r="B16" i="7"/>
  <c r="G15" i="7"/>
  <c r="F15" i="7"/>
  <c r="E15" i="7"/>
  <c r="B15" i="7" s="1"/>
  <c r="D15" i="7"/>
  <c r="C15" i="7"/>
  <c r="B14" i="7"/>
  <c r="B13" i="7"/>
  <c r="F12" i="7"/>
  <c r="E12" i="7"/>
  <c r="B12" i="7" s="1"/>
  <c r="B11" i="7"/>
  <c r="B10" i="7"/>
  <c r="F9" i="7"/>
  <c r="E9" i="7"/>
  <c r="D9" i="7"/>
  <c r="C9" i="7"/>
  <c r="B8" i="7"/>
  <c r="B7" i="7"/>
  <c r="G6" i="7"/>
  <c r="F6" i="7"/>
  <c r="E6" i="7"/>
  <c r="D6" i="7"/>
  <c r="C6" i="7"/>
  <c r="B6" i="7" l="1"/>
  <c r="B24" i="7"/>
  <c r="B9" i="7"/>
  <c r="J6" i="6"/>
  <c r="H6" i="6"/>
  <c r="F8" i="6"/>
  <c r="C7" i="6"/>
  <c r="G18" i="6" l="1"/>
  <c r="B26" i="6"/>
  <c r="B25" i="6"/>
  <c r="G24" i="6"/>
  <c r="F24" i="6"/>
  <c r="B24" i="6" s="1"/>
  <c r="E24" i="6"/>
  <c r="B23" i="6"/>
  <c r="B22" i="6"/>
  <c r="G21" i="6"/>
  <c r="F21" i="6"/>
  <c r="E21" i="6"/>
  <c r="B21" i="6" s="1"/>
  <c r="B20" i="6"/>
  <c r="B19" i="6"/>
  <c r="F18" i="6"/>
  <c r="E18" i="6"/>
  <c r="D18" i="6"/>
  <c r="C18" i="6"/>
  <c r="B17" i="6"/>
  <c r="B16" i="6"/>
  <c r="G15" i="6"/>
  <c r="F15" i="6"/>
  <c r="E15" i="6"/>
  <c r="D15" i="6"/>
  <c r="C15" i="6"/>
  <c r="B14" i="6"/>
  <c r="B13" i="6"/>
  <c r="G12" i="6"/>
  <c r="F12" i="6"/>
  <c r="E12" i="6"/>
  <c r="B12" i="6"/>
  <c r="B11" i="6"/>
  <c r="B10" i="6"/>
  <c r="F9" i="6"/>
  <c r="E9" i="6"/>
  <c r="D9" i="6"/>
  <c r="C9" i="6"/>
  <c r="B8" i="6"/>
  <c r="F6" i="6"/>
  <c r="E6" i="6"/>
  <c r="B7" i="6"/>
  <c r="D6" i="6"/>
  <c r="C6" i="6"/>
  <c r="B6" i="6" l="1"/>
  <c r="G9" i="6"/>
  <c r="B9" i="6"/>
  <c r="G6" i="6"/>
  <c r="B18" i="6"/>
  <c r="B15" i="6"/>
  <c r="J6" i="5"/>
  <c r="K6" i="5"/>
  <c r="C7" i="5"/>
  <c r="E7" i="5"/>
  <c r="F7" i="5"/>
  <c r="F8" i="5"/>
  <c r="G24" i="5"/>
  <c r="G21" i="5"/>
  <c r="G18" i="5"/>
  <c r="G15" i="5"/>
  <c r="G12" i="5"/>
  <c r="G9" i="5"/>
  <c r="G6" i="5"/>
  <c r="B26" i="5" l="1"/>
  <c r="B25" i="5"/>
  <c r="F24" i="5"/>
  <c r="E24" i="5"/>
  <c r="B23" i="5"/>
  <c r="B22" i="5"/>
  <c r="F21" i="5"/>
  <c r="E21" i="5"/>
  <c r="B21" i="5"/>
  <c r="B20" i="5"/>
  <c r="B19" i="5"/>
  <c r="F18" i="5"/>
  <c r="E18" i="5"/>
  <c r="D18" i="5"/>
  <c r="C18" i="5"/>
  <c r="B17" i="5"/>
  <c r="B16" i="5"/>
  <c r="F15" i="5"/>
  <c r="E15" i="5"/>
  <c r="D15" i="5"/>
  <c r="C15" i="5"/>
  <c r="B14" i="5"/>
  <c r="B13" i="5"/>
  <c r="F12" i="5"/>
  <c r="E12" i="5"/>
  <c r="B12" i="5" s="1"/>
  <c r="B11" i="5"/>
  <c r="B10" i="5"/>
  <c r="F9" i="5"/>
  <c r="E9" i="5"/>
  <c r="D9" i="5"/>
  <c r="C9" i="5"/>
  <c r="B8" i="5"/>
  <c r="F6" i="5"/>
  <c r="E6" i="5"/>
  <c r="D6" i="5"/>
  <c r="C6" i="5"/>
  <c r="B18" i="5" l="1"/>
  <c r="B24" i="5"/>
  <c r="B15" i="5"/>
  <c r="B9" i="5"/>
  <c r="B6" i="5"/>
  <c r="B7" i="5"/>
  <c r="C7" i="4"/>
  <c r="E7" i="4"/>
  <c r="F7" i="4"/>
  <c r="F8" i="4"/>
  <c r="G18" i="4" l="1"/>
  <c r="B26" i="4"/>
  <c r="B25" i="4"/>
  <c r="G24" i="4"/>
  <c r="F24" i="4"/>
  <c r="E24" i="4"/>
  <c r="B23" i="4"/>
  <c r="B22" i="4"/>
  <c r="G21" i="4"/>
  <c r="F21" i="4"/>
  <c r="E21" i="4"/>
  <c r="B21" i="4"/>
  <c r="B20" i="4"/>
  <c r="B19" i="4"/>
  <c r="F18" i="4"/>
  <c r="E18" i="4"/>
  <c r="B18" i="4" s="1"/>
  <c r="D18" i="4"/>
  <c r="C18" i="4"/>
  <c r="B17" i="4"/>
  <c r="B16" i="4"/>
  <c r="G15" i="4"/>
  <c r="F15" i="4"/>
  <c r="E15" i="4"/>
  <c r="B15" i="4" s="1"/>
  <c r="D15" i="4"/>
  <c r="C15" i="4"/>
  <c r="B14" i="4"/>
  <c r="B13" i="4"/>
  <c r="G12" i="4"/>
  <c r="F12" i="4"/>
  <c r="B12" i="4" s="1"/>
  <c r="E12" i="4"/>
  <c r="B11" i="4"/>
  <c r="B10" i="4"/>
  <c r="F9" i="4"/>
  <c r="E9" i="4"/>
  <c r="D9" i="4"/>
  <c r="C9" i="4"/>
  <c r="B8" i="4"/>
  <c r="B7" i="4"/>
  <c r="F6" i="4"/>
  <c r="E6" i="4"/>
  <c r="D6" i="4"/>
  <c r="C6" i="4"/>
  <c r="G9" i="4" l="1"/>
  <c r="G6" i="4"/>
  <c r="B24" i="4"/>
  <c r="B9" i="4"/>
  <c r="B6" i="4"/>
  <c r="J6" i="3"/>
  <c r="G18" i="3" l="1"/>
  <c r="B26" i="3"/>
  <c r="B25" i="3"/>
  <c r="G24" i="3"/>
  <c r="F24" i="3"/>
  <c r="E24" i="3"/>
  <c r="B23" i="3"/>
  <c r="B22" i="3"/>
  <c r="G21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B15" i="3" s="1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24" i="3"/>
  <c r="B12" i="3"/>
  <c r="B9" i="3"/>
  <c r="B6" i="3"/>
  <c r="C7" i="1"/>
  <c r="B26" i="1" l="1"/>
  <c r="B25" i="1"/>
  <c r="G24" i="1"/>
  <c r="F24" i="1"/>
  <c r="B24" i="1" s="1"/>
  <c r="E24" i="1"/>
  <c r="B23" i="1"/>
  <c r="B22" i="1"/>
  <c r="G21" i="1"/>
  <c r="F21" i="1"/>
  <c r="E21" i="1"/>
  <c r="B21" i="1" s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9" i="1" l="1"/>
  <c r="G9" i="1"/>
  <c r="G6" i="1"/>
  <c r="B18" i="1"/>
  <c r="B15" i="1"/>
  <c r="B6" i="1"/>
  <c r="G6" i="8" l="1"/>
  <c r="B7" i="10"/>
  <c r="C6" i="10"/>
  <c r="B6" i="10"/>
</calcChain>
</file>

<file path=xl/sharedStrings.xml><?xml version="1.0" encoding="utf-8"?>
<sst xmlns="http://schemas.openxmlformats.org/spreadsheetml/2006/main" count="396" uniqueCount="29">
  <si>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</si>
  <si>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</si>
  <si>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</si>
  <si>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</si>
  <si>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</si>
  <si>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</si>
  <si>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</si>
  <si>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</si>
  <si>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</si>
  <si>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</si>
  <si>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</si>
  <si>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</si>
  <si>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</si>
  <si>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</si>
  <si>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</si>
  <si>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</si>
  <si>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</si>
  <si>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</si>
  <si>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</si>
  <si>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</si>
  <si>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</si>
  <si>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</si>
  <si>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</si>
  <si>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</si>
  <si>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</si>
  <si>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август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</si>
  <si>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сентябрь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</si>
  <si>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октябрь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</si>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</sst>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  <numFmt numFmtId="169" formatCode="#,##0.00000000_ ;[Red]\-#,##0.000000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107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164" fontId="5" fillId="0" borderId="32" xfId="1" applyNumberFormat="1" applyFont="1" applyFill="1" applyBorder="1" applyAlignment="1">
      <alignment horizontal="right"/>
    </xf>
    <xf numFmtId="3" fontId="3" fillId="0" borderId="15" xfId="1" applyNumberFormat="1" applyFont="1" applyFill="1" applyBorder="1"/>
    <xf numFmtId="0" fontId="3" fillId="0" borderId="28" xfId="1" applyFont="1" applyFill="1" applyBorder="1" applyAlignment="1">
      <alignment vertical="top"/>
    </xf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7" xfId="1" applyNumberFormat="1" applyFont="1" applyFill="1" applyBorder="1"/>
    <xf numFmtId="164" fontId="0" fillId="0" borderId="0" xfId="0" applyNumberFormat="1"/>
    <xf numFmtId="166" fontId="4" fillId="0" borderId="1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5" fontId="0" fillId="0" borderId="0" xfId="0" applyNumberFormat="1"/>
    <xf numFmtId="3" fontId="6" fillId="3" borderId="20" xfId="0" applyNumberFormat="1" applyFont="1" applyFill="1" applyBorder="1" applyProtection="1">
      <protection locked="0"/>
    </xf>
    <xf numFmtId="165" fontId="5" fillId="0" borderId="21" xfId="1" applyNumberFormat="1" applyFont="1" applyFill="1" applyBorder="1"/>
    <xf numFmtId="169" fontId="0" fillId="0" borderId="0" xfId="0" applyNumberFormat="1"/>
    <xf numFmtId="3" fontId="6" fillId="3" borderId="30" xfId="0" applyNumberFormat="1" applyFont="1" applyFill="1" applyBorder="1" applyProtection="1">
      <protection locked="0"/>
    </xf>
    <xf numFmtId="3" fontId="6" fillId="3" borderId="32" xfId="0" applyNumberFormat="1" applyFont="1" applyFill="1" applyBorder="1" applyProtection="1">
      <protection locked="0"/>
    </xf>
    <xf numFmtId="166" fontId="4" fillId="0" borderId="35" xfId="0" applyNumberFormat="1" applyFont="1" applyBorder="1"/>
    <xf numFmtId="164" fontId="3" fillId="2" borderId="28" xfId="1" applyNumberFormat="1" applyFont="1" applyFill="1" applyBorder="1" applyAlignment="1">
      <alignment horizontal="right"/>
    </xf>
    <xf numFmtId="164" fontId="5" fillId="2" borderId="19" xfId="1" applyNumberFormat="1" applyFont="1" applyFill="1" applyBorder="1" applyAlignment="1">
      <alignment horizontal="right"/>
    </xf>
    <xf numFmtId="164" fontId="5" fillId="2" borderId="24" xfId="1" applyNumberFormat="1" applyFont="1" applyFill="1" applyBorder="1" applyAlignment="1">
      <alignment horizontal="right"/>
    </xf>
    <xf numFmtId="164" fontId="3" fillId="2" borderId="14" xfId="1" applyNumberFormat="1" applyFont="1" applyFill="1" applyBorder="1" applyAlignment="1">
      <alignment horizontal="right"/>
    </xf>
    <xf numFmtId="164" fontId="5" fillId="2" borderId="30" xfId="1" applyNumberFormat="1" applyFont="1" applyFill="1" applyBorder="1" applyAlignment="1">
      <alignment horizontal="right"/>
    </xf>
    <xf numFmtId="164" fontId="5" fillId="2" borderId="32" xfId="1" applyNumberFormat="1" applyFont="1" applyFill="1" applyBorder="1" applyAlignment="1">
      <alignment horizontal="right"/>
    </xf>
    <xf numFmtId="3" fontId="10" fillId="4" borderId="20" xfId="0" applyNumberFormat="1" applyFont="1" applyFill="1" applyBorder="1"/>
    <xf numFmtId="3" fontId="10" fillId="4" borderId="21" xfId="0" applyNumberFormat="1" applyFont="1" applyFill="1" applyBorder="1"/>
    <xf numFmtId="3" fontId="10" fillId="4" borderId="23" xfId="0" applyNumberFormat="1" applyFont="1" applyFill="1" applyBorder="1"/>
    <xf numFmtId="3" fontId="10" fillId="4" borderId="25" xfId="1" applyNumberFormat="1" applyFont="1" applyFill="1" applyBorder="1"/>
    <xf numFmtId="3" fontId="10" fillId="4" borderId="26" xfId="1" applyNumberFormat="1" applyFont="1" applyFill="1" applyBorder="1"/>
    <xf numFmtId="3" fontId="10" fillId="4" borderId="26" xfId="0" applyNumberFormat="1" applyFont="1" applyFill="1" applyBorder="1"/>
    <xf numFmtId="3" fontId="10" fillId="4" borderId="27" xfId="0" applyNumberFormat="1" applyFont="1" applyFill="1" applyBorder="1"/>
    <xf numFmtId="3" fontId="6" fillId="4" borderId="20" xfId="0" applyNumberFormat="1" applyFont="1" applyFill="1" applyBorder="1"/>
    <xf numFmtId="3" fontId="6" fillId="4" borderId="21" xfId="0" applyNumberFormat="1" applyFont="1" applyFill="1" applyBorder="1"/>
    <xf numFmtId="3" fontId="10" fillId="4" borderId="21" xfId="1" applyNumberFormat="1" applyFont="1" applyFill="1" applyBorder="1"/>
    <xf numFmtId="3" fontId="10" fillId="4" borderId="23" xfId="1" applyNumberFormat="1" applyFont="1" applyFill="1" applyBorder="1"/>
    <xf numFmtId="3" fontId="5" fillId="4" borderId="25" xfId="1" applyNumberFormat="1" applyFont="1" applyFill="1" applyBorder="1"/>
    <xf numFmtId="3" fontId="5" fillId="4" borderId="26" xfId="1" applyNumberFormat="1" applyFont="1" applyFill="1" applyBorder="1"/>
    <xf numFmtId="3" fontId="6" fillId="4" borderId="31" xfId="0" applyNumberFormat="1" applyFont="1" applyFill="1" applyBorder="1"/>
    <xf numFmtId="3" fontId="5" fillId="4" borderId="33" xfId="1" applyNumberFormat="1" applyFont="1" applyFill="1" applyBorder="1"/>
    <xf numFmtId="3" fontId="5" fillId="4" borderId="27" xfId="1" applyNumberFormat="1" applyFont="1" applyFill="1" applyBorder="1"/>
    <xf numFmtId="3" fontId="5" fillId="4" borderId="21" xfId="1" applyNumberFormat="1" applyFont="1" applyFill="1" applyBorder="1"/>
    <xf numFmtId="3" fontId="10" fillId="4" borderId="27" xfId="1" applyNumberFormat="1" applyFont="1" applyFill="1" applyBorder="1"/>
    <xf numFmtId="3" fontId="5" fillId="4" borderId="23" xfId="1" applyNumberFormat="1" applyFont="1" applyFill="1" applyBorder="1"/>
    <xf numFmtId="1" fontId="6" fillId="4" borderId="21" xfId="0" applyNumberFormat="1" applyFont="1" applyFill="1" applyBorder="1"/>
    <xf numFmtId="1" fontId="5" fillId="4" borderId="21" xfId="1" applyNumberFormat="1" applyFont="1" applyFill="1" applyBorder="1"/>
    <xf numFmtId="1" fontId="5" fillId="4" borderId="23" xfId="1" applyNumberFormat="1" applyFont="1" applyFill="1" applyBorder="1"/>
    <xf numFmtId="1" fontId="5" fillId="4" borderId="26" xfId="1" applyNumberFormat="1" applyFont="1" applyFill="1" applyBorder="1"/>
    <xf numFmtId="3" fontId="0" fillId="0" borderId="0" xfId="0" applyNumberFormat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right"/>
    </xf>
    <xf numFmtId="0" fontId="5" fillId="2" borderId="32" xfId="1" applyFont="1" applyFill="1" applyBorder="1" applyAlignment="1">
      <alignment horizontal="right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32"/>
  <sheetViews>
    <sheetView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233246298</v>
      </c>
      <c r="C6" s="10">
        <f>C7+C8</f>
        <v>7504394</v>
      </c>
      <c r="D6" s="11">
        <f>D7+D8</f>
        <v>583231</v>
      </c>
      <c r="E6" s="11">
        <f>E7+E8</f>
        <v>96339211</v>
      </c>
      <c r="F6" s="12">
        <f>F7+F8</f>
        <v>128819462</v>
      </c>
      <c r="G6" s="13">
        <f>SUM(H6:K6)</f>
        <v>23.599000000000004</v>
      </c>
      <c r="H6" s="14">
        <v>0.52400000000000002</v>
      </c>
      <c r="I6" s="15"/>
      <c r="J6" s="16">
        <v>18.045000000000002</v>
      </c>
      <c r="K6" s="56">
        <v>5.03</v>
      </c>
    </row>
    <row r="7" spans="1:11" x14ac:dyDescent="0.25">
      <c r="A7" s="17" t="s">
        <v>10</v>
      </c>
      <c r="B7" s="18">
        <f t="shared" si="0"/>
        <v>124475412</v>
      </c>
      <c r="C7" s="74">
        <f>7453898+50496</f>
        <v>7504394</v>
      </c>
      <c r="D7" s="75">
        <v>583231</v>
      </c>
      <c r="E7" s="75">
        <f>80816084+1219681</f>
        <v>82035765</v>
      </c>
      <c r="F7" s="76">
        <f>34014599+337423</f>
        <v>34352022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108770886</v>
      </c>
      <c r="C8" s="77">
        <v>0</v>
      </c>
      <c r="D8" s="78">
        <v>0</v>
      </c>
      <c r="E8" s="79">
        <v>14303446</v>
      </c>
      <c r="F8" s="80">
        <f>92792456+1674984</f>
        <v>94467440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25700791</v>
      </c>
      <c r="C9" s="32">
        <f>C10+C11</f>
        <v>0</v>
      </c>
      <c r="D9" s="33">
        <f>D10+D11</f>
        <v>0</v>
      </c>
      <c r="E9" s="33">
        <f>E10+E11</f>
        <v>11507637</v>
      </c>
      <c r="F9" s="34">
        <f>F10+F11</f>
        <v>14193154</v>
      </c>
      <c r="G9" s="13">
        <f>SUM(H9:K9)</f>
        <v>3.1479999999999997</v>
      </c>
      <c r="H9" s="10"/>
      <c r="I9" s="11"/>
      <c r="J9" s="57">
        <v>2.8849999999999998</v>
      </c>
      <c r="K9" s="36">
        <v>0.26300000000000001</v>
      </c>
    </row>
    <row r="10" spans="1:11" x14ac:dyDescent="0.25">
      <c r="A10" s="17" t="s">
        <v>10</v>
      </c>
      <c r="B10" s="18">
        <f t="shared" si="0"/>
        <v>12415108</v>
      </c>
      <c r="C10" s="81">
        <v>0</v>
      </c>
      <c r="D10" s="82">
        <v>0</v>
      </c>
      <c r="E10" s="83">
        <v>9421135</v>
      </c>
      <c r="F10" s="84">
        <v>2993973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13285683</v>
      </c>
      <c r="C11" s="85">
        <v>0</v>
      </c>
      <c r="D11" s="86">
        <v>0</v>
      </c>
      <c r="E11" s="83">
        <v>2086502</v>
      </c>
      <c r="F11" s="84">
        <v>11199181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25411</v>
      </c>
      <c r="C12" s="10"/>
      <c r="D12" s="11"/>
      <c r="E12" s="33">
        <f>E13+E14</f>
        <v>0</v>
      </c>
      <c r="F12" s="34">
        <f>F13+F14</f>
        <v>25411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37">
        <v>0</v>
      </c>
      <c r="D13" s="41">
        <v>0</v>
      </c>
      <c r="E13" s="42">
        <v>0</v>
      </c>
      <c r="F13" s="43">
        <v>0</v>
      </c>
      <c r="G13" s="39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25411</v>
      </c>
      <c r="C14" s="26">
        <v>0</v>
      </c>
      <c r="D14" s="44">
        <v>0</v>
      </c>
      <c r="E14" s="44">
        <v>0</v>
      </c>
      <c r="F14" s="54">
        <v>25411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98327</v>
      </c>
      <c r="C15" s="32">
        <f>C16+C17</f>
        <v>0</v>
      </c>
      <c r="D15" s="33">
        <f>D16+D17</f>
        <v>0</v>
      </c>
      <c r="E15" s="33">
        <f>E16+E17</f>
        <v>31283</v>
      </c>
      <c r="F15" s="34">
        <f>F16+F17</f>
        <v>67044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98327</v>
      </c>
      <c r="C16" s="87">
        <v>0</v>
      </c>
      <c r="D16" s="82">
        <v>0</v>
      </c>
      <c r="E16" s="83">
        <v>31283</v>
      </c>
      <c r="F16" s="84">
        <v>67044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433307</v>
      </c>
      <c r="C18" s="32">
        <f>C19+C20</f>
        <v>0</v>
      </c>
      <c r="D18" s="33">
        <f>D19+D20</f>
        <v>0</v>
      </c>
      <c r="E18" s="33">
        <f>E19+E20</f>
        <v>73473</v>
      </c>
      <c r="F18" s="34">
        <f>F19+F20</f>
        <v>359834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289349</v>
      </c>
      <c r="C19" s="87">
        <v>0</v>
      </c>
      <c r="D19" s="90">
        <v>0</v>
      </c>
      <c r="E19" s="83">
        <v>34683</v>
      </c>
      <c r="F19" s="84">
        <v>254666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143958</v>
      </c>
      <c r="C20" s="88">
        <v>0</v>
      </c>
      <c r="D20" s="86">
        <v>0</v>
      </c>
      <c r="E20" s="83">
        <v>38790</v>
      </c>
      <c r="F20" s="91">
        <v>105168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414400</v>
      </c>
      <c r="C21" s="48"/>
      <c r="D21" s="33"/>
      <c r="E21" s="33">
        <f>E22+E23</f>
        <v>414400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414400</v>
      </c>
      <c r="C22" s="81">
        <v>0</v>
      </c>
      <c r="D22" s="82">
        <v>0</v>
      </c>
      <c r="E22" s="83">
        <v>414400</v>
      </c>
      <c r="F22" s="9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85">
        <v>0</v>
      </c>
      <c r="D23" s="86">
        <v>0</v>
      </c>
      <c r="E23" s="86">
        <v>0</v>
      </c>
      <c r="F23" s="89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578415</v>
      </c>
      <c r="C24" s="50"/>
      <c r="D24" s="35"/>
      <c r="E24" s="33">
        <f>E25+E26</f>
        <v>578415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578415</v>
      </c>
      <c r="C25" s="81">
        <v>0</v>
      </c>
      <c r="D25" s="82">
        <v>0</v>
      </c>
      <c r="E25" s="83">
        <v>578415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</row>
    <row r="30" spans="1:11" x14ac:dyDescent="0.25">
      <c r="B30" s="55"/>
    </row>
    <row r="32" spans="1:11" x14ac:dyDescent="0.25">
      <c r="B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32"/>
  <sheetViews>
    <sheetView zoomScaleNormal="100" workbookViewId="0">
      <selection activeCell="B29" sqref="B29"/>
    </sheetView>
  </sheetViews>
  <sheetFormatPr defaultRowHeight="15" x14ac:dyDescent="0.25"/>
  <cols>
    <col min="1" max="1" width="64.28515625" customWidth="1"/>
    <col min="2" max="2" width="17.140625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9" max="9" width="10" customWidth="1"/>
    <col min="10" max="10" width="10.28515625" customWidth="1"/>
    <col min="11" max="11" width="11.140625" customWidth="1"/>
  </cols>
  <sheetData>
    <row r="1" spans="1:11" ht="15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196684161.99599999</v>
      </c>
      <c r="C6" s="10">
        <f>C7+C8</f>
        <v>6175059</v>
      </c>
      <c r="D6" s="11">
        <f>D7+D8</f>
        <v>576723</v>
      </c>
      <c r="E6" s="11">
        <f>E7+E8</f>
        <v>84772842</v>
      </c>
      <c r="F6" s="12">
        <f>F7+F8</f>
        <v>105159537.99600001</v>
      </c>
      <c r="G6" s="13">
        <f>SUM(H6:K6)</f>
        <v>22.870744000000002</v>
      </c>
      <c r="H6" s="14">
        <v>0.41599999999999998</v>
      </c>
      <c r="I6" s="15"/>
      <c r="J6" s="16">
        <f>17.958672+0.03</f>
        <v>17.988672000000001</v>
      </c>
      <c r="K6" s="67">
        <f>4.461072+0.005</f>
        <v>4.4660719999999996</v>
      </c>
    </row>
    <row r="7" spans="1:11" x14ac:dyDescent="0.25">
      <c r="A7" s="17" t="s">
        <v>10</v>
      </c>
      <c r="B7" s="18">
        <f t="shared" si="0"/>
        <v>109257005</v>
      </c>
      <c r="C7" s="62">
        <f>6140429+34630</f>
        <v>6175059</v>
      </c>
      <c r="D7" s="62">
        <v>576723</v>
      </c>
      <c r="E7" s="62">
        <f>74326709+735929</f>
        <v>75062638</v>
      </c>
      <c r="F7" s="65">
        <f>27128438+314147</f>
        <v>27442585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87427156.996000007</v>
      </c>
      <c r="C8" s="62">
        <v>0</v>
      </c>
      <c r="D8" s="62">
        <v>0</v>
      </c>
      <c r="E8" s="62">
        <v>9710204</v>
      </c>
      <c r="F8" s="66">
        <f>76055445.996+1661507</f>
        <v>77716952.996000007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68">
        <f t="shared" si="0"/>
        <v>21025573</v>
      </c>
      <c r="C9" s="32">
        <f>C10+C11</f>
        <v>0</v>
      </c>
      <c r="D9" s="33">
        <f>D10+D11</f>
        <v>0</v>
      </c>
      <c r="E9" s="33">
        <f>E10+E11</f>
        <v>9684274</v>
      </c>
      <c r="F9" s="34">
        <f>F10+F11</f>
        <v>11341299</v>
      </c>
      <c r="G9" s="13">
        <f>SUM(H9:K9)</f>
        <v>4.30166</v>
      </c>
      <c r="H9" s="10"/>
      <c r="I9" s="11"/>
      <c r="J9" s="57">
        <v>4.10466</v>
      </c>
      <c r="K9" s="36">
        <v>0.19700000000000001</v>
      </c>
    </row>
    <row r="10" spans="1:11" x14ac:dyDescent="0.25">
      <c r="A10" s="17" t="s">
        <v>10</v>
      </c>
      <c r="B10" s="69">
        <f t="shared" si="0"/>
        <v>10852825</v>
      </c>
      <c r="C10" s="62">
        <v>0</v>
      </c>
      <c r="D10" s="62">
        <v>0</v>
      </c>
      <c r="E10" s="62">
        <v>8431960</v>
      </c>
      <c r="F10" s="62">
        <v>2420865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70">
        <f t="shared" si="0"/>
        <v>10172748</v>
      </c>
      <c r="C11" s="62">
        <v>0</v>
      </c>
      <c r="D11" s="62">
        <v>0</v>
      </c>
      <c r="E11" s="62">
        <v>1252314</v>
      </c>
      <c r="F11" s="62">
        <v>8920434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71">
        <f t="shared" si="0"/>
        <v>75543</v>
      </c>
      <c r="C12" s="10"/>
      <c r="D12" s="11"/>
      <c r="E12" s="33">
        <f>E13+E14</f>
        <v>70628</v>
      </c>
      <c r="F12" s="34">
        <f>F13+F14</f>
        <v>4915</v>
      </c>
      <c r="G12" s="13">
        <f>SUM(H12:K12)</f>
        <v>9.8000000000000004E-2</v>
      </c>
      <c r="H12" s="10"/>
      <c r="I12" s="11"/>
      <c r="J12" s="35">
        <v>9.8000000000000004E-2</v>
      </c>
      <c r="K12" s="36"/>
    </row>
    <row r="13" spans="1:11" x14ac:dyDescent="0.25">
      <c r="A13" s="17" t="s">
        <v>10</v>
      </c>
      <c r="B13" s="69">
        <f t="shared" si="0"/>
        <v>70628</v>
      </c>
      <c r="C13" s="62">
        <v>0</v>
      </c>
      <c r="D13" s="62">
        <v>0</v>
      </c>
      <c r="E13" s="62">
        <v>70628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70">
        <f t="shared" si="0"/>
        <v>4915</v>
      </c>
      <c r="C14" s="62">
        <v>0</v>
      </c>
      <c r="D14" s="62">
        <v>0</v>
      </c>
      <c r="E14" s="62">
        <v>0</v>
      </c>
      <c r="F14" s="62">
        <v>4915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68">
        <f t="shared" si="0"/>
        <v>97758</v>
      </c>
      <c r="C15" s="32">
        <f>C16+C17</f>
        <v>0</v>
      </c>
      <c r="D15" s="33">
        <f>D16+D17</f>
        <v>0</v>
      </c>
      <c r="E15" s="33">
        <f>E16+E17</f>
        <v>32154</v>
      </c>
      <c r="F15" s="34">
        <f>F16+F17</f>
        <v>65604</v>
      </c>
      <c r="G15" s="13">
        <f>SUM(H15:K15)</f>
        <v>0.14800000000000002</v>
      </c>
      <c r="H15" s="10"/>
      <c r="I15" s="11"/>
      <c r="J15" s="35">
        <v>4.9000000000000002E-2</v>
      </c>
      <c r="K15" s="36">
        <v>9.9000000000000005E-2</v>
      </c>
    </row>
    <row r="16" spans="1:11" x14ac:dyDescent="0.25">
      <c r="A16" s="17" t="s">
        <v>10</v>
      </c>
      <c r="B16" s="72">
        <f t="shared" si="0"/>
        <v>97758</v>
      </c>
      <c r="C16" s="62">
        <v>0</v>
      </c>
      <c r="D16" s="62">
        <v>0</v>
      </c>
      <c r="E16" s="62">
        <v>32154</v>
      </c>
      <c r="F16" s="62">
        <v>65604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73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68">
        <f t="shared" si="0"/>
        <v>313632</v>
      </c>
      <c r="C18" s="32">
        <f>C19+C20</f>
        <v>0</v>
      </c>
      <c r="D18" s="33">
        <f>D19+D20</f>
        <v>0</v>
      </c>
      <c r="E18" s="33">
        <f>E19+E20</f>
        <v>43731</v>
      </c>
      <c r="F18" s="34">
        <f>F19+F20</f>
        <v>269901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72">
        <f t="shared" si="0"/>
        <v>192401</v>
      </c>
      <c r="C19" s="62">
        <v>0</v>
      </c>
      <c r="D19" s="62">
        <v>0</v>
      </c>
      <c r="E19" s="62">
        <v>43731</v>
      </c>
      <c r="F19" s="62">
        <v>148670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73">
        <f t="shared" si="0"/>
        <v>121231</v>
      </c>
      <c r="C20" s="62">
        <v>0</v>
      </c>
      <c r="D20" s="62">
        <v>0</v>
      </c>
      <c r="E20" s="62">
        <v>0</v>
      </c>
      <c r="F20" s="62">
        <v>121231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71">
        <f t="shared" si="0"/>
        <v>334396</v>
      </c>
      <c r="C21" s="48"/>
      <c r="D21" s="33"/>
      <c r="E21" s="33">
        <f>E22+E23</f>
        <v>334396</v>
      </c>
      <c r="F21" s="34">
        <f>F22+F23</f>
        <v>0</v>
      </c>
      <c r="G21" s="13">
        <f>SUM(H21:K21)</f>
        <v>1.4999999999999999E-2</v>
      </c>
      <c r="H21" s="10"/>
      <c r="I21" s="11"/>
      <c r="J21" s="35">
        <v>1.4999999999999999E-2</v>
      </c>
      <c r="K21" s="36"/>
    </row>
    <row r="22" spans="1:11" x14ac:dyDescent="0.25">
      <c r="A22" s="17" t="s">
        <v>10</v>
      </c>
      <c r="B22" s="69">
        <f t="shared" si="0"/>
        <v>334396</v>
      </c>
      <c r="C22" s="62">
        <v>0</v>
      </c>
      <c r="D22" s="62">
        <v>0</v>
      </c>
      <c r="E22" s="62">
        <v>334396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70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71">
        <f t="shared" si="0"/>
        <v>416088</v>
      </c>
      <c r="C24" s="50"/>
      <c r="D24" s="35"/>
      <c r="E24" s="33">
        <f>E25+E26</f>
        <v>416088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416088</v>
      </c>
      <c r="C25" s="62">
        <v>0</v>
      </c>
      <c r="D25" s="62">
        <v>0</v>
      </c>
      <c r="E25" s="62">
        <v>416088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61"/>
      <c r="G29" s="61"/>
    </row>
    <row r="30" spans="1:11" x14ac:dyDescent="0.25">
      <c r="B30" s="55"/>
      <c r="H30" s="64"/>
    </row>
    <row r="31" spans="1:11" x14ac:dyDescent="0.25">
      <c r="B31" s="55"/>
    </row>
    <row r="32" spans="1:11" x14ac:dyDescent="0.25">
      <c r="B32" s="55"/>
      <c r="C32" s="55"/>
      <c r="E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K32"/>
  <sheetViews>
    <sheetView tabSelected="1" zoomScaleNormal="100" workbookViewId="0">
      <selection activeCell="K6" sqref="K6"/>
    </sheetView>
  </sheetViews>
  <sheetFormatPr defaultRowHeight="15" x14ac:dyDescent="0.25"/>
  <cols>
    <col min="1" max="1" width="64.28515625" customWidth="1"/>
    <col min="2" max="2" width="17.42578125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9" max="9" width="10" customWidth="1"/>
    <col min="10" max="10" width="10.28515625" customWidth="1"/>
    <col min="11" max="11" width="11.140625" customWidth="1"/>
  </cols>
  <sheetData>
    <row r="1" spans="1:11" ht="15" customHeight="1" x14ac:dyDescent="0.25">
      <c r="A1" s="98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219731295</v>
      </c>
      <c r="C6" s="10">
        <f>C7+C8</f>
        <v>9614750</v>
      </c>
      <c r="D6" s="11">
        <f>D7+D8</f>
        <v>674972</v>
      </c>
      <c r="E6" s="11">
        <f>E7+E8</f>
        <v>92742601</v>
      </c>
      <c r="F6" s="12">
        <f>F7+F8</f>
        <v>116698972</v>
      </c>
      <c r="G6" s="13">
        <f>SUM(H6:K6)</f>
        <v>22.930478999999998</v>
      </c>
      <c r="H6" s="14">
        <v>0.45500000000000002</v>
      </c>
      <c r="I6" s="15"/>
      <c r="J6" s="16">
        <v>17.773213999999999</v>
      </c>
      <c r="K6" s="67">
        <v>4.7022649999999997</v>
      </c>
    </row>
    <row r="7" spans="1:11" x14ac:dyDescent="0.25">
      <c r="A7" s="17" t="s">
        <v>10</v>
      </c>
      <c r="B7" s="18">
        <f t="shared" si="0"/>
        <v>122282995</v>
      </c>
      <c r="C7" s="62">
        <v>9614750</v>
      </c>
      <c r="D7" s="62">
        <v>674972</v>
      </c>
      <c r="E7" s="62">
        <v>81317465</v>
      </c>
      <c r="F7" s="65">
        <v>30675808</v>
      </c>
      <c r="G7" s="20"/>
      <c r="H7" s="21"/>
      <c r="I7" s="22"/>
      <c r="J7" s="23"/>
      <c r="K7" s="24"/>
    </row>
    <row r="8" spans="1:11" ht="15.75" thickBot="1" x14ac:dyDescent="0.3">
      <c r="A8" s="59" t="s">
        <v>11</v>
      </c>
      <c r="B8" s="25">
        <f t="shared" si="0"/>
        <v>97448300</v>
      </c>
      <c r="C8" s="62">
        <v>0</v>
      </c>
      <c r="D8" s="62">
        <v>0</v>
      </c>
      <c r="E8" s="62">
        <v>11425136</v>
      </c>
      <c r="F8" s="66">
        <v>86023164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68">
        <f t="shared" si="0"/>
        <v>22995316</v>
      </c>
      <c r="C9" s="32">
        <f>C10+C11</f>
        <v>0</v>
      </c>
      <c r="D9" s="33">
        <f>D10+D11</f>
        <v>0</v>
      </c>
      <c r="E9" s="33">
        <f>E10+E11</f>
        <v>10635463</v>
      </c>
      <c r="F9" s="34">
        <f>F10+F11</f>
        <v>12359853</v>
      </c>
      <c r="G9" s="13">
        <f>SUM(H9:K9)</f>
        <v>4.4378760000000002</v>
      </c>
      <c r="H9" s="10"/>
      <c r="I9" s="11"/>
      <c r="J9" s="57">
        <v>4.1828760000000003</v>
      </c>
      <c r="K9" s="36">
        <v>0.255</v>
      </c>
    </row>
    <row r="10" spans="1:11" x14ac:dyDescent="0.25">
      <c r="A10" s="59" t="s">
        <v>10</v>
      </c>
      <c r="B10" s="69">
        <f t="shared" si="0"/>
        <v>11677148</v>
      </c>
      <c r="C10" s="62">
        <v>0</v>
      </c>
      <c r="D10" s="62">
        <v>0</v>
      </c>
      <c r="E10" s="62">
        <v>8849696</v>
      </c>
      <c r="F10" s="62">
        <v>2827452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70">
        <f t="shared" si="0"/>
        <v>11318168</v>
      </c>
      <c r="C11" s="62">
        <v>0</v>
      </c>
      <c r="D11" s="62">
        <v>0</v>
      </c>
      <c r="E11" s="62">
        <v>1785767</v>
      </c>
      <c r="F11" s="62">
        <v>9532401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71">
        <f t="shared" si="0"/>
        <v>144511</v>
      </c>
      <c r="C12" s="10"/>
      <c r="D12" s="11"/>
      <c r="E12" s="33">
        <f>E13+E14</f>
        <v>123059</v>
      </c>
      <c r="F12" s="34">
        <f>F13+F14</f>
        <v>21452</v>
      </c>
      <c r="G12" s="13">
        <f>SUM(H12:K12)</f>
        <v>0.17499999999999999</v>
      </c>
      <c r="H12" s="10"/>
      <c r="I12" s="11"/>
      <c r="J12" s="35">
        <v>0.17499999999999999</v>
      </c>
      <c r="K12" s="36"/>
    </row>
    <row r="13" spans="1:11" x14ac:dyDescent="0.25">
      <c r="A13" s="59" t="s">
        <v>10</v>
      </c>
      <c r="B13" s="69">
        <f t="shared" si="0"/>
        <v>123059</v>
      </c>
      <c r="C13" s="62">
        <v>0</v>
      </c>
      <c r="D13" s="62">
        <v>0</v>
      </c>
      <c r="E13" s="62">
        <v>123059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59" t="s">
        <v>11</v>
      </c>
      <c r="B14" s="70">
        <f t="shared" si="0"/>
        <v>21452</v>
      </c>
      <c r="C14" s="62">
        <v>0</v>
      </c>
      <c r="D14" s="62">
        <v>0</v>
      </c>
      <c r="E14" s="62">
        <v>0</v>
      </c>
      <c r="F14" s="62">
        <v>21452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68">
        <f t="shared" si="0"/>
        <v>99080</v>
      </c>
      <c r="C15" s="32">
        <f>C16+C17</f>
        <v>0</v>
      </c>
      <c r="D15" s="33">
        <f>D16+D17</f>
        <v>0</v>
      </c>
      <c r="E15" s="33">
        <f>E16+E17</f>
        <v>32154</v>
      </c>
      <c r="F15" s="34">
        <f>F16+F17</f>
        <v>66926</v>
      </c>
      <c r="G15" s="13">
        <f>SUM(H15:K15)</f>
        <v>0.157</v>
      </c>
      <c r="H15" s="10"/>
      <c r="I15" s="11"/>
      <c r="J15" s="35">
        <v>5.2999999999999999E-2</v>
      </c>
      <c r="K15" s="36">
        <v>0.104</v>
      </c>
    </row>
    <row r="16" spans="1:11" x14ac:dyDescent="0.25">
      <c r="A16" s="59" t="s">
        <v>10</v>
      </c>
      <c r="B16" s="72">
        <f t="shared" si="0"/>
        <v>99080</v>
      </c>
      <c r="C16" s="62">
        <v>0</v>
      </c>
      <c r="D16" s="62">
        <v>0</v>
      </c>
      <c r="E16" s="62">
        <v>32154</v>
      </c>
      <c r="F16" s="62">
        <v>66926</v>
      </c>
      <c r="G16" s="39"/>
      <c r="H16" s="21"/>
      <c r="I16" s="22"/>
      <c r="J16" s="22"/>
      <c r="K16" s="24"/>
    </row>
    <row r="17" spans="1:11" ht="15.75" thickBot="1" x14ac:dyDescent="0.3">
      <c r="A17" s="59" t="s">
        <v>11</v>
      </c>
      <c r="B17" s="73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68">
        <f t="shared" si="0"/>
        <v>384123</v>
      </c>
      <c r="C18" s="32">
        <f>C19+C20</f>
        <v>0</v>
      </c>
      <c r="D18" s="33">
        <f>D19+D20</f>
        <v>0</v>
      </c>
      <c r="E18" s="33">
        <f>E19+E20</f>
        <v>56681</v>
      </c>
      <c r="F18" s="34">
        <f>F19+F20</f>
        <v>327442</v>
      </c>
      <c r="G18" s="13">
        <f>SUM(H18:K18)</f>
        <v>0</v>
      </c>
      <c r="H18" s="10"/>
      <c r="I18" s="11"/>
      <c r="J18" s="35"/>
      <c r="K18" s="36">
        <v>0</v>
      </c>
    </row>
    <row r="19" spans="1:11" x14ac:dyDescent="0.25">
      <c r="A19" s="59" t="s">
        <v>10</v>
      </c>
      <c r="B19" s="72">
        <f t="shared" si="0"/>
        <v>270734</v>
      </c>
      <c r="C19" s="62">
        <v>0</v>
      </c>
      <c r="D19" s="62">
        <v>0</v>
      </c>
      <c r="E19" s="62">
        <v>56681</v>
      </c>
      <c r="F19" s="62">
        <v>214053</v>
      </c>
      <c r="G19" s="39"/>
      <c r="H19" s="21"/>
      <c r="I19" s="22"/>
      <c r="J19" s="22"/>
      <c r="K19" s="24"/>
    </row>
    <row r="20" spans="1:11" ht="15.75" thickBot="1" x14ac:dyDescent="0.3">
      <c r="A20" s="59" t="s">
        <v>11</v>
      </c>
      <c r="B20" s="73">
        <f t="shared" si="0"/>
        <v>113389</v>
      </c>
      <c r="C20" s="62">
        <v>0</v>
      </c>
      <c r="D20" s="62">
        <v>0</v>
      </c>
      <c r="E20" s="62">
        <v>0</v>
      </c>
      <c r="F20" s="62">
        <v>113389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71">
        <f t="shared" si="0"/>
        <v>375552</v>
      </c>
      <c r="C21" s="48"/>
      <c r="D21" s="33"/>
      <c r="E21" s="33">
        <f>E22+E23</f>
        <v>375552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59" t="s">
        <v>10</v>
      </c>
      <c r="B22" s="69">
        <f t="shared" si="0"/>
        <v>375552</v>
      </c>
      <c r="C22" s="62">
        <v>0</v>
      </c>
      <c r="D22" s="62">
        <v>0</v>
      </c>
      <c r="E22" s="62">
        <v>375552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59" t="s">
        <v>11</v>
      </c>
      <c r="B23" s="70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71">
        <f t="shared" si="0"/>
        <v>506127</v>
      </c>
      <c r="C24" s="50"/>
      <c r="D24" s="35"/>
      <c r="E24" s="33">
        <f>E25+E26</f>
        <v>506127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105" t="s">
        <v>10</v>
      </c>
      <c r="B25" s="18">
        <f t="shared" si="0"/>
        <v>506127</v>
      </c>
      <c r="C25" s="62">
        <v>0</v>
      </c>
      <c r="D25" s="62">
        <v>0</v>
      </c>
      <c r="E25" s="62">
        <v>506127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106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61"/>
      <c r="G29" s="61"/>
    </row>
    <row r="30" spans="1:11" x14ac:dyDescent="0.25">
      <c r="B30" s="55"/>
      <c r="H30" s="64"/>
    </row>
    <row r="31" spans="1:11" x14ac:dyDescent="0.25">
      <c r="B31" s="55"/>
    </row>
    <row r="32" spans="1:11" x14ac:dyDescent="0.25">
      <c r="B32" s="55"/>
      <c r="C32" s="55"/>
      <c r="E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32"/>
  <sheetViews>
    <sheetView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235526907</v>
      </c>
      <c r="C6" s="10">
        <f>C7+C8</f>
        <v>7644575</v>
      </c>
      <c r="D6" s="11">
        <f>D7+D8</f>
        <v>634737</v>
      </c>
      <c r="E6" s="11">
        <f>E7+E8</f>
        <v>97047009</v>
      </c>
      <c r="F6" s="12">
        <f>F7+F8</f>
        <v>130200586</v>
      </c>
      <c r="G6" s="13">
        <f>SUM(H6:K6)</f>
        <v>23.47</v>
      </c>
      <c r="H6" s="14">
        <v>0.54400000000000004</v>
      </c>
      <c r="I6" s="15"/>
      <c r="J6" s="16">
        <f>17.871+0.046</f>
        <v>17.916999999999998</v>
      </c>
      <c r="K6" s="56">
        <v>5.0090000000000003</v>
      </c>
    </row>
    <row r="7" spans="1:11" x14ac:dyDescent="0.25">
      <c r="A7" s="17" t="s">
        <v>10</v>
      </c>
      <c r="B7" s="18">
        <f t="shared" si="0"/>
        <v>125962857</v>
      </c>
      <c r="C7" s="74">
        <f>7595206+49369</f>
        <v>7644575</v>
      </c>
      <c r="D7" s="75">
        <v>634737</v>
      </c>
      <c r="E7" s="75">
        <f>81813598+1340303+25523</f>
        <v>83179424</v>
      </c>
      <c r="F7" s="76">
        <f>34187852+314137+2132</f>
        <v>34504121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109564050</v>
      </c>
      <c r="C8" s="77">
        <v>0</v>
      </c>
      <c r="D8" s="78">
        <v>0</v>
      </c>
      <c r="E8" s="79">
        <v>13867585</v>
      </c>
      <c r="F8" s="80">
        <f>94029171+1667294</f>
        <v>95696465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25808945</v>
      </c>
      <c r="C9" s="32">
        <f>C10+C11</f>
        <v>0</v>
      </c>
      <c r="D9" s="33">
        <f>D10+D11</f>
        <v>0</v>
      </c>
      <c r="E9" s="33">
        <f>E10+E11</f>
        <v>11104594</v>
      </c>
      <c r="F9" s="34">
        <f>F10+F11</f>
        <v>14704351</v>
      </c>
      <c r="G9" s="13">
        <f>SUM(H9:K9)</f>
        <v>6.3109999999999999</v>
      </c>
      <c r="H9" s="10"/>
      <c r="I9" s="11"/>
      <c r="J9" s="57">
        <v>5.9980000000000002</v>
      </c>
      <c r="K9" s="36">
        <v>0.313</v>
      </c>
    </row>
    <row r="10" spans="1:11" x14ac:dyDescent="0.25">
      <c r="A10" s="59" t="s">
        <v>10</v>
      </c>
      <c r="B10" s="18">
        <f t="shared" si="0"/>
        <v>12646300</v>
      </c>
      <c r="C10" s="81">
        <v>0</v>
      </c>
      <c r="D10" s="82">
        <v>0</v>
      </c>
      <c r="E10" s="83">
        <v>9056868</v>
      </c>
      <c r="F10" s="84">
        <v>3589432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13162645</v>
      </c>
      <c r="C11" s="85">
        <v>0</v>
      </c>
      <c r="D11" s="86">
        <v>0</v>
      </c>
      <c r="E11" s="83">
        <v>2047726</v>
      </c>
      <c r="F11" s="84">
        <v>11114919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9">
        <f t="shared" si="0"/>
        <v>22919</v>
      </c>
      <c r="C12" s="10"/>
      <c r="D12" s="11"/>
      <c r="E12" s="33">
        <f>E13+E14</f>
        <v>0</v>
      </c>
      <c r="F12" s="34">
        <f>F13+F14</f>
        <v>22919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59" t="s">
        <v>10</v>
      </c>
      <c r="B13" s="18">
        <f t="shared" si="0"/>
        <v>0</v>
      </c>
      <c r="C13" s="81">
        <v>0</v>
      </c>
      <c r="D13" s="93">
        <v>0</v>
      </c>
      <c r="E13" s="94">
        <v>0</v>
      </c>
      <c r="F13" s="95">
        <v>0</v>
      </c>
      <c r="G13" s="39"/>
      <c r="H13" s="21"/>
      <c r="I13" s="22"/>
      <c r="J13" s="22"/>
      <c r="K13" s="24"/>
    </row>
    <row r="14" spans="1:11" ht="15.75" thickBot="1" x14ac:dyDescent="0.3">
      <c r="A14" s="59" t="s">
        <v>11</v>
      </c>
      <c r="B14" s="25">
        <f t="shared" si="0"/>
        <v>22919</v>
      </c>
      <c r="C14" s="85">
        <v>0</v>
      </c>
      <c r="D14" s="96">
        <v>0</v>
      </c>
      <c r="E14" s="96">
        <v>0</v>
      </c>
      <c r="F14" s="91">
        <v>22919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31">
        <f t="shared" si="0"/>
        <v>88043</v>
      </c>
      <c r="C15" s="32">
        <f>C16+C17</f>
        <v>0</v>
      </c>
      <c r="D15" s="33">
        <f>D16+D17</f>
        <v>0</v>
      </c>
      <c r="E15" s="33">
        <f>E16+E17</f>
        <v>28570</v>
      </c>
      <c r="F15" s="34">
        <f>F16+F17</f>
        <v>59473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59" t="s">
        <v>10</v>
      </c>
      <c r="B16" s="46">
        <f t="shared" si="0"/>
        <v>88043</v>
      </c>
      <c r="C16" s="87">
        <v>0</v>
      </c>
      <c r="D16" s="82">
        <v>0</v>
      </c>
      <c r="E16" s="83">
        <v>28570</v>
      </c>
      <c r="F16" s="84">
        <v>59473</v>
      </c>
      <c r="G16" s="39"/>
      <c r="H16" s="21"/>
      <c r="I16" s="22"/>
      <c r="J16" s="22"/>
      <c r="K16" s="24"/>
    </row>
    <row r="17" spans="1:11" ht="15.75" thickBot="1" x14ac:dyDescent="0.3">
      <c r="A17" s="59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31">
        <f t="shared" si="0"/>
        <v>468091</v>
      </c>
      <c r="C18" s="32">
        <f>C19+C20</f>
        <v>0</v>
      </c>
      <c r="D18" s="33">
        <f>D19+D20</f>
        <v>0</v>
      </c>
      <c r="E18" s="33">
        <f>E19+E20</f>
        <v>108145</v>
      </c>
      <c r="F18" s="34">
        <f>F19+F20</f>
        <v>359946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59" t="s">
        <v>10</v>
      </c>
      <c r="B19" s="46">
        <f t="shared" si="0"/>
        <v>297917</v>
      </c>
      <c r="C19" s="87">
        <v>0</v>
      </c>
      <c r="D19" s="90">
        <v>0</v>
      </c>
      <c r="E19" s="83">
        <v>37765</v>
      </c>
      <c r="F19" s="84">
        <v>260152</v>
      </c>
      <c r="G19" s="39"/>
      <c r="H19" s="21"/>
      <c r="I19" s="22"/>
      <c r="J19" s="22"/>
      <c r="K19" s="24"/>
    </row>
    <row r="20" spans="1:11" ht="15.75" thickBot="1" x14ac:dyDescent="0.3">
      <c r="A20" s="59" t="s">
        <v>11</v>
      </c>
      <c r="B20" s="47">
        <f t="shared" si="0"/>
        <v>170174</v>
      </c>
      <c r="C20" s="88">
        <v>0</v>
      </c>
      <c r="D20" s="86">
        <v>0</v>
      </c>
      <c r="E20" s="83">
        <v>70380</v>
      </c>
      <c r="F20" s="91">
        <v>99794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9">
        <f t="shared" si="0"/>
        <v>430922</v>
      </c>
      <c r="C21" s="48"/>
      <c r="D21" s="33"/>
      <c r="E21" s="33">
        <f>E22+E23</f>
        <v>430922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59" t="s">
        <v>10</v>
      </c>
      <c r="B22" s="18">
        <f t="shared" si="0"/>
        <v>430922</v>
      </c>
      <c r="C22" s="37">
        <v>0</v>
      </c>
      <c r="D22" s="19">
        <v>0</v>
      </c>
      <c r="E22" s="53">
        <v>430922</v>
      </c>
      <c r="F22" s="38">
        <v>0</v>
      </c>
      <c r="G22" s="39"/>
      <c r="H22" s="21"/>
      <c r="I22" s="22"/>
      <c r="J22" s="22"/>
      <c r="K22" s="24"/>
    </row>
    <row r="23" spans="1:11" ht="15.75" thickBot="1" x14ac:dyDescent="0.3">
      <c r="A23" s="59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9">
        <f t="shared" si="0"/>
        <v>480559</v>
      </c>
      <c r="C24" s="50"/>
      <c r="D24" s="35"/>
      <c r="E24" s="33">
        <f>E25+E26</f>
        <v>480559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480559</v>
      </c>
      <c r="C25" s="81">
        <v>0</v>
      </c>
      <c r="D25" s="82">
        <v>0</v>
      </c>
      <c r="E25" s="83">
        <v>480559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</row>
    <row r="30" spans="1:11" x14ac:dyDescent="0.25">
      <c r="B30" s="55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32"/>
  <sheetViews>
    <sheetView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223649834</v>
      </c>
      <c r="C6" s="10">
        <f>C7+C8</f>
        <v>8093065</v>
      </c>
      <c r="D6" s="11">
        <f>D7+D8</f>
        <v>627141</v>
      </c>
      <c r="E6" s="11">
        <f>E7+E8</f>
        <v>95076755</v>
      </c>
      <c r="F6" s="12">
        <f>F7+F8</f>
        <v>119852873</v>
      </c>
      <c r="G6" s="13">
        <f>SUM(H6:K6)</f>
        <v>22.701999999999998</v>
      </c>
      <c r="H6" s="14">
        <v>0.51700000000000002</v>
      </c>
      <c r="I6" s="15"/>
      <c r="J6" s="16">
        <v>17.372</v>
      </c>
      <c r="K6" s="56">
        <v>4.8129999999999997</v>
      </c>
    </row>
    <row r="7" spans="1:11" x14ac:dyDescent="0.25">
      <c r="A7" s="17" t="s">
        <v>10</v>
      </c>
      <c r="B7" s="18">
        <f t="shared" si="0"/>
        <v>121846338</v>
      </c>
      <c r="C7" s="74">
        <f>7989415+103650</f>
        <v>8093065</v>
      </c>
      <c r="D7" s="75">
        <v>627141</v>
      </c>
      <c r="E7" s="75">
        <f>80866925+1287689</f>
        <v>82154614</v>
      </c>
      <c r="F7" s="76">
        <f>30662668+308850</f>
        <v>30971518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101803496</v>
      </c>
      <c r="C8" s="77">
        <v>0</v>
      </c>
      <c r="D8" s="78">
        <v>0</v>
      </c>
      <c r="E8" s="79">
        <v>12922141</v>
      </c>
      <c r="F8" s="80">
        <f>87355635+1525720</f>
        <v>88881355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24185230</v>
      </c>
      <c r="C9" s="32">
        <f>C10+C11</f>
        <v>0</v>
      </c>
      <c r="D9" s="33">
        <f>D10+D11</f>
        <v>0</v>
      </c>
      <c r="E9" s="33">
        <f>E10+E11</f>
        <v>10977990</v>
      </c>
      <c r="F9" s="34">
        <f>F10+F11</f>
        <v>13207240</v>
      </c>
      <c r="G9" s="13">
        <f>SUM(H9:K9)</f>
        <v>4.6979999999999995</v>
      </c>
      <c r="H9" s="10"/>
      <c r="I9" s="11"/>
      <c r="J9" s="57">
        <v>4.4489999999999998</v>
      </c>
      <c r="K9" s="36">
        <v>0.249</v>
      </c>
    </row>
    <row r="10" spans="1:11" x14ac:dyDescent="0.25">
      <c r="A10" s="59" t="s">
        <v>10</v>
      </c>
      <c r="B10" s="18">
        <f t="shared" si="0"/>
        <v>12046086</v>
      </c>
      <c r="C10" s="81">
        <v>0</v>
      </c>
      <c r="D10" s="82">
        <v>0</v>
      </c>
      <c r="E10" s="83">
        <v>9454935</v>
      </c>
      <c r="F10" s="84">
        <v>2591151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12139144</v>
      </c>
      <c r="C11" s="85">
        <v>0</v>
      </c>
      <c r="D11" s="86">
        <v>0</v>
      </c>
      <c r="E11" s="83">
        <v>1523055</v>
      </c>
      <c r="F11" s="84">
        <v>10616089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9">
        <f t="shared" si="0"/>
        <v>21788</v>
      </c>
      <c r="C12" s="10"/>
      <c r="D12" s="11"/>
      <c r="E12" s="33">
        <f>E13+E14</f>
        <v>0</v>
      </c>
      <c r="F12" s="34">
        <f>F13+F14</f>
        <v>21788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59" t="s">
        <v>10</v>
      </c>
      <c r="B13" s="18">
        <f t="shared" si="0"/>
        <v>0</v>
      </c>
      <c r="C13" s="81">
        <v>0</v>
      </c>
      <c r="D13" s="93">
        <v>0</v>
      </c>
      <c r="E13" s="94">
        <v>0</v>
      </c>
      <c r="F13" s="95">
        <v>0</v>
      </c>
      <c r="G13" s="39"/>
      <c r="H13" s="21"/>
      <c r="I13" s="22"/>
      <c r="J13" s="22"/>
      <c r="K13" s="24"/>
    </row>
    <row r="14" spans="1:11" ht="15.75" thickBot="1" x14ac:dyDescent="0.3">
      <c r="A14" s="59" t="s">
        <v>11</v>
      </c>
      <c r="B14" s="25">
        <f t="shared" si="0"/>
        <v>21788</v>
      </c>
      <c r="C14" s="85">
        <v>0</v>
      </c>
      <c r="D14" s="96">
        <v>0</v>
      </c>
      <c r="E14" s="96">
        <v>0</v>
      </c>
      <c r="F14" s="91">
        <v>21788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31">
        <f t="shared" si="0"/>
        <v>97341</v>
      </c>
      <c r="C15" s="32">
        <f>C16+C17</f>
        <v>0</v>
      </c>
      <c r="D15" s="33">
        <f>D16+D17</f>
        <v>0</v>
      </c>
      <c r="E15" s="33">
        <f>E16+E17</f>
        <v>31392</v>
      </c>
      <c r="F15" s="34">
        <f>F16+F17</f>
        <v>65949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59" t="s">
        <v>10</v>
      </c>
      <c r="B16" s="46">
        <f t="shared" si="0"/>
        <v>97341</v>
      </c>
      <c r="C16" s="87">
        <v>0</v>
      </c>
      <c r="D16" s="82">
        <v>0</v>
      </c>
      <c r="E16" s="83">
        <v>31392</v>
      </c>
      <c r="F16" s="84">
        <v>65949</v>
      </c>
      <c r="G16" s="39"/>
      <c r="H16" s="21"/>
      <c r="I16" s="22"/>
      <c r="J16" s="22"/>
      <c r="K16" s="24"/>
    </row>
    <row r="17" spans="1:11" ht="15.75" thickBot="1" x14ac:dyDescent="0.3">
      <c r="A17" s="59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31">
        <f t="shared" si="0"/>
        <v>370748</v>
      </c>
      <c r="C18" s="32">
        <f>C19+C20</f>
        <v>0</v>
      </c>
      <c r="D18" s="33">
        <f>D19+D20</f>
        <v>0</v>
      </c>
      <c r="E18" s="33">
        <f>E19+E20</f>
        <v>50720</v>
      </c>
      <c r="F18" s="34">
        <f>F19+F20</f>
        <v>320028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59" t="s">
        <v>10</v>
      </c>
      <c r="B19" s="46">
        <f t="shared" si="0"/>
        <v>259528</v>
      </c>
      <c r="C19" s="87">
        <v>0</v>
      </c>
      <c r="D19" s="90">
        <v>0</v>
      </c>
      <c r="E19" s="83">
        <v>31940</v>
      </c>
      <c r="F19" s="84">
        <v>227588</v>
      </c>
      <c r="G19" s="39"/>
      <c r="H19" s="21"/>
      <c r="I19" s="22"/>
      <c r="J19" s="22"/>
      <c r="K19" s="24"/>
    </row>
    <row r="20" spans="1:11" ht="15.75" thickBot="1" x14ac:dyDescent="0.3">
      <c r="A20" s="59" t="s">
        <v>11</v>
      </c>
      <c r="B20" s="47">
        <f t="shared" si="0"/>
        <v>111220</v>
      </c>
      <c r="C20" s="88">
        <v>0</v>
      </c>
      <c r="D20" s="86">
        <v>0</v>
      </c>
      <c r="E20" s="83">
        <v>18780</v>
      </c>
      <c r="F20" s="91">
        <v>92440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9">
        <f t="shared" si="0"/>
        <v>394010</v>
      </c>
      <c r="C21" s="48"/>
      <c r="D21" s="33"/>
      <c r="E21" s="33">
        <f>E22+E23</f>
        <v>394010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59" t="s">
        <v>10</v>
      </c>
      <c r="B22" s="18">
        <f t="shared" si="0"/>
        <v>394010</v>
      </c>
      <c r="C22" s="81">
        <v>0</v>
      </c>
      <c r="D22" s="82">
        <v>0</v>
      </c>
      <c r="E22" s="83">
        <v>394010</v>
      </c>
      <c r="F22" s="92">
        <v>0</v>
      </c>
      <c r="G22" s="39"/>
      <c r="H22" s="21"/>
      <c r="I22" s="22"/>
      <c r="J22" s="22"/>
      <c r="K22" s="24"/>
    </row>
    <row r="23" spans="1:11" ht="15.75" thickBot="1" x14ac:dyDescent="0.3">
      <c r="A23" s="59" t="s">
        <v>11</v>
      </c>
      <c r="B23" s="25">
        <f t="shared" si="0"/>
        <v>0</v>
      </c>
      <c r="C23" s="85">
        <v>0</v>
      </c>
      <c r="D23" s="86">
        <v>0</v>
      </c>
      <c r="E23" s="86">
        <v>0</v>
      </c>
      <c r="F23" s="89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9">
        <f t="shared" si="0"/>
        <v>631397</v>
      </c>
      <c r="C24" s="50"/>
      <c r="D24" s="35"/>
      <c r="E24" s="33">
        <f>E25+E26</f>
        <v>631397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631397</v>
      </c>
      <c r="C25" s="81">
        <v>0</v>
      </c>
      <c r="D25" s="82">
        <v>0</v>
      </c>
      <c r="E25" s="83">
        <v>631397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</row>
    <row r="30" spans="1:11" x14ac:dyDescent="0.25">
      <c r="B30" s="55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32"/>
  <sheetViews>
    <sheetView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201471334</v>
      </c>
      <c r="C6" s="10">
        <f>C7+C8</f>
        <v>7145278</v>
      </c>
      <c r="D6" s="11">
        <f>D7+D8</f>
        <v>591631</v>
      </c>
      <c r="E6" s="11">
        <f>E7+E8</f>
        <v>80368664</v>
      </c>
      <c r="F6" s="12">
        <f>F7+F8</f>
        <v>113365761</v>
      </c>
      <c r="G6" s="13">
        <f>SUM(H6:K6)</f>
        <v>21.388126999999997</v>
      </c>
      <c r="H6" s="14">
        <v>0.45</v>
      </c>
      <c r="I6" s="15"/>
      <c r="J6" s="16">
        <f>16.394246+26/1000</f>
        <v>16.420245999999999</v>
      </c>
      <c r="K6" s="56">
        <f>4.513881+0.004</f>
        <v>4.5178809999999991</v>
      </c>
    </row>
    <row r="7" spans="1:11" x14ac:dyDescent="0.25">
      <c r="A7" s="17" t="s">
        <v>10</v>
      </c>
      <c r="B7" s="18">
        <f t="shared" si="0"/>
        <v>108022924</v>
      </c>
      <c r="C7" s="74">
        <f>7103560+41718</f>
        <v>7145278</v>
      </c>
      <c r="D7" s="75">
        <v>591631</v>
      </c>
      <c r="E7" s="75">
        <f>69640869+817279</f>
        <v>70458148</v>
      </c>
      <c r="F7" s="76">
        <f>29563099+264768</f>
        <v>29827867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93448410</v>
      </c>
      <c r="C8" s="77">
        <v>0</v>
      </c>
      <c r="D8" s="78">
        <v>0</v>
      </c>
      <c r="E8" s="79">
        <v>9910516</v>
      </c>
      <c r="F8" s="80">
        <f>81934817+1603077</f>
        <v>83537894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21871206</v>
      </c>
      <c r="C9" s="32">
        <f>C10+C11</f>
        <v>0</v>
      </c>
      <c r="D9" s="33">
        <f>D10+D11</f>
        <v>0</v>
      </c>
      <c r="E9" s="33">
        <f>E10+E11</f>
        <v>9852496</v>
      </c>
      <c r="F9" s="34">
        <f>F10+F11</f>
        <v>12018710</v>
      </c>
      <c r="G9" s="13">
        <f>SUM(H9:K9)</f>
        <v>4.4444590000000002</v>
      </c>
      <c r="H9" s="10"/>
      <c r="I9" s="11"/>
      <c r="J9" s="57">
        <v>4.2404590000000004</v>
      </c>
      <c r="K9" s="36">
        <v>0.20399999999999999</v>
      </c>
    </row>
    <row r="10" spans="1:11" x14ac:dyDescent="0.25">
      <c r="A10" s="59" t="s">
        <v>10</v>
      </c>
      <c r="B10" s="18">
        <f t="shared" si="0"/>
        <v>10809955</v>
      </c>
      <c r="C10" s="81">
        <v>0</v>
      </c>
      <c r="D10" s="82">
        <v>0</v>
      </c>
      <c r="E10" s="83">
        <v>8403567</v>
      </c>
      <c r="F10" s="84">
        <v>2406388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11061251</v>
      </c>
      <c r="C11" s="85">
        <v>0</v>
      </c>
      <c r="D11" s="86">
        <v>0</v>
      </c>
      <c r="E11" s="83">
        <v>1448929</v>
      </c>
      <c r="F11" s="84">
        <v>9612322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22561</v>
      </c>
      <c r="C12" s="10"/>
      <c r="D12" s="11"/>
      <c r="E12" s="33">
        <f>E13+E14</f>
        <v>0</v>
      </c>
      <c r="F12" s="34">
        <f>F13+F14</f>
        <v>22561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81">
        <v>0</v>
      </c>
      <c r="D13" s="93">
        <v>0</v>
      </c>
      <c r="E13" s="94">
        <v>0</v>
      </c>
      <c r="F13" s="95">
        <v>0</v>
      </c>
      <c r="G13" s="39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22561</v>
      </c>
      <c r="C14" s="85">
        <v>0</v>
      </c>
      <c r="D14" s="96">
        <v>0</v>
      </c>
      <c r="E14" s="96">
        <v>0</v>
      </c>
      <c r="F14" s="91">
        <v>22561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96068</v>
      </c>
      <c r="C15" s="32">
        <f>C16+C17</f>
        <v>0</v>
      </c>
      <c r="D15" s="33">
        <f>D16+D17</f>
        <v>0</v>
      </c>
      <c r="E15" s="33">
        <f>E16+E17</f>
        <v>30352</v>
      </c>
      <c r="F15" s="34">
        <f>F16+F17</f>
        <v>65716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96068</v>
      </c>
      <c r="C16" s="87">
        <v>0</v>
      </c>
      <c r="D16" s="82">
        <v>0</v>
      </c>
      <c r="E16" s="83">
        <v>30352</v>
      </c>
      <c r="F16" s="84">
        <v>65716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314523</v>
      </c>
      <c r="C18" s="32">
        <f>C19+C20</f>
        <v>0</v>
      </c>
      <c r="D18" s="33">
        <f>D19+D20</f>
        <v>0</v>
      </c>
      <c r="E18" s="33">
        <f>E19+E20</f>
        <v>23677</v>
      </c>
      <c r="F18" s="34">
        <f>F19+F20</f>
        <v>290846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207020</v>
      </c>
      <c r="C19" s="87">
        <v>0</v>
      </c>
      <c r="D19" s="90">
        <v>0</v>
      </c>
      <c r="E19" s="83">
        <v>23677</v>
      </c>
      <c r="F19" s="84">
        <v>183343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107503</v>
      </c>
      <c r="C20" s="88">
        <v>0</v>
      </c>
      <c r="D20" s="86">
        <v>0</v>
      </c>
      <c r="E20" s="83">
        <v>0</v>
      </c>
      <c r="F20" s="91">
        <v>107503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331182</v>
      </c>
      <c r="C21" s="48"/>
      <c r="D21" s="33"/>
      <c r="E21" s="33">
        <f>E22+E23</f>
        <v>331182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331182</v>
      </c>
      <c r="C22" s="81">
        <v>0</v>
      </c>
      <c r="D22" s="82">
        <v>0</v>
      </c>
      <c r="E22" s="83">
        <v>331182</v>
      </c>
      <c r="F22" s="9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85">
        <v>0</v>
      </c>
      <c r="D23" s="86">
        <v>0</v>
      </c>
      <c r="E23" s="86">
        <v>0</v>
      </c>
      <c r="F23" s="89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504167</v>
      </c>
      <c r="C24" s="50"/>
      <c r="D24" s="35"/>
      <c r="E24" s="33">
        <f>E25+E26</f>
        <v>504167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504167</v>
      </c>
      <c r="C25" s="81">
        <v>0</v>
      </c>
      <c r="D25" s="82">
        <v>0</v>
      </c>
      <c r="E25" s="83">
        <v>504167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1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32"/>
  <sheetViews>
    <sheetView topLeftCell="A4"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8" t="s">
        <v>22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182092955</v>
      </c>
      <c r="C6" s="10">
        <f>C7+C8</f>
        <v>6850456</v>
      </c>
      <c r="D6" s="11">
        <f>D7+D8</f>
        <v>545401</v>
      </c>
      <c r="E6" s="11">
        <f>E7+E8</f>
        <v>71440988</v>
      </c>
      <c r="F6" s="12">
        <f>F7+F8</f>
        <v>103256110</v>
      </c>
      <c r="G6" s="13">
        <f>SUM(H6:K6)</f>
        <v>19.202160999999997</v>
      </c>
      <c r="H6" s="14">
        <f>0.439</f>
        <v>0.439</v>
      </c>
      <c r="I6" s="15"/>
      <c r="J6" s="16">
        <f>14.738461+24/1000</f>
        <v>14.762460999999998</v>
      </c>
      <c r="K6" s="56">
        <v>4.0007000000000001</v>
      </c>
    </row>
    <row r="7" spans="1:11" x14ac:dyDescent="0.25">
      <c r="A7" s="17" t="s">
        <v>10</v>
      </c>
      <c r="B7" s="18">
        <f t="shared" si="0"/>
        <v>94726734</v>
      </c>
      <c r="C7" s="62">
        <f>6814215+36241</f>
        <v>6850456</v>
      </c>
      <c r="D7" s="62">
        <v>545401</v>
      </c>
      <c r="E7" s="62">
        <f>61018100+489703+14914</f>
        <v>61522717</v>
      </c>
      <c r="F7" s="62">
        <f>25560221+245555+2384</f>
        <v>25808160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87366221</v>
      </c>
      <c r="C8" s="62">
        <v>0</v>
      </c>
      <c r="D8" s="62">
        <v>0</v>
      </c>
      <c r="E8" s="62">
        <v>9918271</v>
      </c>
      <c r="F8" s="62">
        <f>75943418+1504532</f>
        <v>77447950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20611980</v>
      </c>
      <c r="C9" s="32">
        <f>C10+C11</f>
        <v>0</v>
      </c>
      <c r="D9" s="33">
        <f>D10+D11</f>
        <v>0</v>
      </c>
      <c r="E9" s="33">
        <f>E10+E11</f>
        <v>8955945</v>
      </c>
      <c r="F9" s="34">
        <f>F10+F11</f>
        <v>11656035</v>
      </c>
      <c r="G9" s="13">
        <f>SUM(H9:K9)</f>
        <v>4.1297120000000005</v>
      </c>
      <c r="H9" s="10"/>
      <c r="I9" s="11"/>
      <c r="J9" s="57">
        <v>3.9357120000000001</v>
      </c>
      <c r="K9" s="36">
        <v>0.19400000000000001</v>
      </c>
    </row>
    <row r="10" spans="1:11" x14ac:dyDescent="0.25">
      <c r="A10" s="59" t="s">
        <v>10</v>
      </c>
      <c r="B10" s="18">
        <f t="shared" si="0"/>
        <v>9816165</v>
      </c>
      <c r="C10" s="62">
        <v>0</v>
      </c>
      <c r="D10" s="62">
        <v>0</v>
      </c>
      <c r="E10" s="62">
        <v>7818857</v>
      </c>
      <c r="F10" s="62">
        <v>1997308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10795815</v>
      </c>
      <c r="C11" s="62">
        <v>0</v>
      </c>
      <c r="D11" s="62">
        <v>0</v>
      </c>
      <c r="E11" s="62">
        <v>1137088</v>
      </c>
      <c r="F11" s="62">
        <v>9658727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567383</v>
      </c>
      <c r="C12" s="10"/>
      <c r="D12" s="11"/>
      <c r="E12" s="33">
        <f>E13+E14</f>
        <v>550114</v>
      </c>
      <c r="F12" s="34">
        <f>F13+F14</f>
        <v>17269</v>
      </c>
      <c r="G12" s="13">
        <f>SUM(H12:K12)</f>
        <v>0.83899999999999997</v>
      </c>
      <c r="H12" s="10"/>
      <c r="I12" s="11"/>
      <c r="J12" s="35">
        <v>0.83899999999999997</v>
      </c>
      <c r="K12" s="36"/>
    </row>
    <row r="13" spans="1:11" x14ac:dyDescent="0.25">
      <c r="A13" s="17" t="s">
        <v>10</v>
      </c>
      <c r="B13" s="18">
        <f t="shared" si="0"/>
        <v>550114</v>
      </c>
      <c r="C13" s="62">
        <v>0</v>
      </c>
      <c r="D13" s="62">
        <v>0</v>
      </c>
      <c r="E13" s="62">
        <v>550114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25">
        <f t="shared" si="0"/>
        <v>17269</v>
      </c>
      <c r="C14" s="62">
        <v>0</v>
      </c>
      <c r="D14" s="62">
        <v>0</v>
      </c>
      <c r="E14" s="62">
        <v>0</v>
      </c>
      <c r="F14" s="62">
        <v>17269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103306</v>
      </c>
      <c r="C15" s="32">
        <f>C16+C17</f>
        <v>0</v>
      </c>
      <c r="D15" s="33">
        <f>D16+D17</f>
        <v>0</v>
      </c>
      <c r="E15" s="33">
        <f>E16+E17</f>
        <v>33575</v>
      </c>
      <c r="F15" s="34">
        <f>F16+F17</f>
        <v>69731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103306</v>
      </c>
      <c r="C16" s="62">
        <v>0</v>
      </c>
      <c r="D16" s="62">
        <v>0</v>
      </c>
      <c r="E16" s="62">
        <v>33575</v>
      </c>
      <c r="F16" s="62">
        <v>69731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255276</v>
      </c>
      <c r="C18" s="32">
        <f>C19+C20</f>
        <v>0</v>
      </c>
      <c r="D18" s="33">
        <f>D19+D20</f>
        <v>0</v>
      </c>
      <c r="E18" s="33">
        <f>E19+E20</f>
        <v>42938</v>
      </c>
      <c r="F18" s="34">
        <f>F19+F20</f>
        <v>212338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169793</v>
      </c>
      <c r="C19" s="62">
        <v>0</v>
      </c>
      <c r="D19" s="62">
        <v>0</v>
      </c>
      <c r="E19" s="62">
        <v>42938</v>
      </c>
      <c r="F19" s="62">
        <v>126855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85483</v>
      </c>
      <c r="C20" s="62">
        <v>0</v>
      </c>
      <c r="D20" s="62">
        <v>0</v>
      </c>
      <c r="E20" s="62">
        <v>0</v>
      </c>
      <c r="F20" s="62">
        <v>85483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287740</v>
      </c>
      <c r="C21" s="48"/>
      <c r="D21" s="33"/>
      <c r="E21" s="33">
        <f>E22+E23</f>
        <v>287740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287740</v>
      </c>
      <c r="C22" s="62">
        <v>0</v>
      </c>
      <c r="D22" s="62">
        <v>0</v>
      </c>
      <c r="E22" s="62">
        <v>287740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484280</v>
      </c>
      <c r="C24" s="50"/>
      <c r="D24" s="35"/>
      <c r="E24" s="33">
        <f>E25+E26</f>
        <v>484280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484280</v>
      </c>
      <c r="C25" s="62">
        <v>0</v>
      </c>
      <c r="D25" s="62">
        <v>0</v>
      </c>
      <c r="E25" s="62">
        <v>484280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1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32"/>
  <sheetViews>
    <sheetView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166088854</v>
      </c>
      <c r="C6" s="10">
        <f>C7+C8</f>
        <v>6839438</v>
      </c>
      <c r="D6" s="11">
        <f>D7+D8</f>
        <v>507410</v>
      </c>
      <c r="E6" s="11">
        <f>E7+E8</f>
        <v>63152784</v>
      </c>
      <c r="F6" s="12">
        <f>F7+F8</f>
        <v>95589222</v>
      </c>
      <c r="G6" s="13">
        <f>SUM(H6:K6)</f>
        <v>19.394452000000001</v>
      </c>
      <c r="H6" s="14">
        <v>0.46400000000000002</v>
      </c>
      <c r="I6" s="15"/>
      <c r="J6" s="16">
        <f>14.971501+0.0018</f>
        <v>14.973300999999999</v>
      </c>
      <c r="K6" s="56">
        <f>3.953151+0.004</f>
        <v>3.9571510000000001</v>
      </c>
    </row>
    <row r="7" spans="1:11" x14ac:dyDescent="0.25">
      <c r="A7" s="17" t="s">
        <v>10</v>
      </c>
      <c r="B7" s="18">
        <f t="shared" si="0"/>
        <v>87333891</v>
      </c>
      <c r="C7" s="62">
        <v>6839438</v>
      </c>
      <c r="D7" s="62">
        <v>507410</v>
      </c>
      <c r="E7" s="62">
        <v>55340143</v>
      </c>
      <c r="F7" s="62">
        <v>24646900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78754963</v>
      </c>
      <c r="C8" s="62">
        <v>0</v>
      </c>
      <c r="D8" s="62">
        <v>0</v>
      </c>
      <c r="E8" s="62">
        <v>7812641</v>
      </c>
      <c r="F8" s="62">
        <v>70942322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18285461</v>
      </c>
      <c r="C9" s="32">
        <f>C10+C11</f>
        <v>0</v>
      </c>
      <c r="D9" s="33">
        <f>D10+D11</f>
        <v>0</v>
      </c>
      <c r="E9" s="33">
        <f>E10+E11</f>
        <v>7880356</v>
      </c>
      <c r="F9" s="34">
        <f>F10+F11</f>
        <v>10405105</v>
      </c>
      <c r="G9" s="13">
        <f>SUM(H9:K9)</f>
        <v>3.8625720000000001</v>
      </c>
      <c r="H9" s="10"/>
      <c r="I9" s="11"/>
      <c r="J9" s="57">
        <v>3.6815720000000001</v>
      </c>
      <c r="K9" s="36">
        <v>0.18099999999999999</v>
      </c>
    </row>
    <row r="10" spans="1:11" x14ac:dyDescent="0.25">
      <c r="A10" s="17" t="s">
        <v>10</v>
      </c>
      <c r="B10" s="18">
        <f t="shared" si="0"/>
        <v>8819287</v>
      </c>
      <c r="C10" s="62">
        <v>0</v>
      </c>
      <c r="D10" s="62">
        <v>0</v>
      </c>
      <c r="E10" s="62">
        <v>6962583</v>
      </c>
      <c r="F10" s="62">
        <v>1856704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9466174</v>
      </c>
      <c r="C11" s="62">
        <v>0</v>
      </c>
      <c r="D11" s="62">
        <v>0</v>
      </c>
      <c r="E11" s="62">
        <v>917773</v>
      </c>
      <c r="F11" s="62">
        <v>8548401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74859</v>
      </c>
      <c r="C12" s="10"/>
      <c r="D12" s="11"/>
      <c r="E12" s="33">
        <f>E13+E14</f>
        <v>58437</v>
      </c>
      <c r="F12" s="34">
        <f>F13+F14</f>
        <v>16422</v>
      </c>
      <c r="G12" s="13">
        <f>SUM(H12:K12)</f>
        <v>9.8000000000000004E-2</v>
      </c>
      <c r="H12" s="10"/>
      <c r="I12" s="11"/>
      <c r="J12" s="35">
        <v>9.8000000000000004E-2</v>
      </c>
      <c r="K12" s="36"/>
    </row>
    <row r="13" spans="1:11" x14ac:dyDescent="0.25">
      <c r="A13" s="17" t="s">
        <v>10</v>
      </c>
      <c r="B13" s="18">
        <f t="shared" si="0"/>
        <v>58437</v>
      </c>
      <c r="C13" s="62">
        <v>0</v>
      </c>
      <c r="D13" s="62">
        <v>0</v>
      </c>
      <c r="E13" s="62">
        <v>58437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25">
        <f t="shared" si="0"/>
        <v>16422</v>
      </c>
      <c r="C14" s="62">
        <v>0</v>
      </c>
      <c r="D14" s="62">
        <v>0</v>
      </c>
      <c r="E14" s="62">
        <v>0</v>
      </c>
      <c r="F14" s="62">
        <v>16422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105858</v>
      </c>
      <c r="C15" s="32">
        <f>C16+C17</f>
        <v>0</v>
      </c>
      <c r="D15" s="33">
        <f>D16+D17</f>
        <v>0</v>
      </c>
      <c r="E15" s="33">
        <f>E16+E17</f>
        <v>34593</v>
      </c>
      <c r="F15" s="34">
        <f>F16+F17</f>
        <v>71265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105858</v>
      </c>
      <c r="C16" s="62">
        <v>0</v>
      </c>
      <c r="D16" s="62">
        <v>0</v>
      </c>
      <c r="E16" s="62">
        <v>34593</v>
      </c>
      <c r="F16" s="62">
        <v>71265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304342</v>
      </c>
      <c r="C18" s="32">
        <f>C19+C20</f>
        <v>0</v>
      </c>
      <c r="D18" s="33">
        <f>D19+D20</f>
        <v>0</v>
      </c>
      <c r="E18" s="33">
        <f>E19+E20</f>
        <v>30746</v>
      </c>
      <c r="F18" s="34">
        <f>F19+F20</f>
        <v>273596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127995</v>
      </c>
      <c r="C19" s="62">
        <v>0</v>
      </c>
      <c r="D19" s="62">
        <v>0</v>
      </c>
      <c r="E19" s="62">
        <v>30746</v>
      </c>
      <c r="F19" s="62">
        <v>97249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176347</v>
      </c>
      <c r="C20" s="62">
        <v>0</v>
      </c>
      <c r="D20" s="62">
        <v>0</v>
      </c>
      <c r="E20" s="62">
        <v>0</v>
      </c>
      <c r="F20" s="62">
        <v>176347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265019</v>
      </c>
      <c r="C21" s="48"/>
      <c r="D21" s="33"/>
      <c r="E21" s="33">
        <f>E22+E23</f>
        <v>265019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265019</v>
      </c>
      <c r="C22" s="62">
        <v>0</v>
      </c>
      <c r="D22" s="62">
        <v>0</v>
      </c>
      <c r="E22" s="62">
        <v>265019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429829</v>
      </c>
      <c r="C24" s="50"/>
      <c r="D24" s="35"/>
      <c r="E24" s="33">
        <f>E25+E26</f>
        <v>429829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429829</v>
      </c>
      <c r="C25" s="62">
        <v>0</v>
      </c>
      <c r="D25" s="62">
        <v>0</v>
      </c>
      <c r="E25" s="62">
        <v>429829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1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32"/>
  <sheetViews>
    <sheetView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11" max="11" width="11.140625" customWidth="1"/>
  </cols>
  <sheetData>
    <row r="1" spans="1:11" ht="15" customHeight="1" x14ac:dyDescent="0.2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163104885</v>
      </c>
      <c r="C6" s="10">
        <f>C7+C8</f>
        <v>6935341</v>
      </c>
      <c r="D6" s="11">
        <f>D7+D8</f>
        <v>468209</v>
      </c>
      <c r="E6" s="11">
        <f>E7+E8</f>
        <v>64660481</v>
      </c>
      <c r="F6" s="12">
        <f>F7+F8</f>
        <v>91040854</v>
      </c>
      <c r="G6" s="13">
        <f>SUM(H6:K6)</f>
        <v>18.056378000000002</v>
      </c>
      <c r="H6" s="14">
        <v>0.48499999999999999</v>
      </c>
      <c r="I6" s="15"/>
      <c r="J6" s="16">
        <f>13.587077+0.015</f>
        <v>13.602077000000001</v>
      </c>
      <c r="K6" s="67">
        <f>3.965301+0.004</f>
        <v>3.9693010000000002</v>
      </c>
    </row>
    <row r="7" spans="1:11" x14ac:dyDescent="0.25">
      <c r="A7" s="17" t="s">
        <v>10</v>
      </c>
      <c r="B7" s="18">
        <f t="shared" si="0"/>
        <v>89518686</v>
      </c>
      <c r="C7" s="62">
        <f>6900791+34550</f>
        <v>6935341</v>
      </c>
      <c r="D7" s="62">
        <v>468209</v>
      </c>
      <c r="E7" s="62">
        <f>57631379+249544</f>
        <v>57880923</v>
      </c>
      <c r="F7" s="65">
        <f>23935581+298632</f>
        <v>24234213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73586199</v>
      </c>
      <c r="C8" s="62">
        <v>0</v>
      </c>
      <c r="D8" s="62">
        <v>0</v>
      </c>
      <c r="E8" s="62">
        <v>6779558</v>
      </c>
      <c r="F8" s="66">
        <f>65365371+1441270</f>
        <v>66806641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18110616</v>
      </c>
      <c r="C9" s="32">
        <f>C10+C11</f>
        <v>0</v>
      </c>
      <c r="D9" s="33">
        <f>D10+D11</f>
        <v>0</v>
      </c>
      <c r="E9" s="33">
        <f>E10+E11</f>
        <v>8215602</v>
      </c>
      <c r="F9" s="34">
        <f>F10+F11</f>
        <v>9895014</v>
      </c>
      <c r="G9" s="13">
        <f>SUM(H9:K9)</f>
        <v>4.1806900000000002</v>
      </c>
      <c r="H9" s="10"/>
      <c r="I9" s="11"/>
      <c r="J9" s="57">
        <v>3.99769</v>
      </c>
      <c r="K9" s="36">
        <v>0.183</v>
      </c>
    </row>
    <row r="10" spans="1:11" x14ac:dyDescent="0.25">
      <c r="A10" s="17" t="s">
        <v>10</v>
      </c>
      <c r="B10" s="18">
        <f t="shared" si="0"/>
        <v>9261267</v>
      </c>
      <c r="C10" s="62">
        <v>0</v>
      </c>
      <c r="D10" s="62">
        <v>0</v>
      </c>
      <c r="E10" s="62">
        <v>7412592</v>
      </c>
      <c r="F10" s="62">
        <v>1848675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8849349</v>
      </c>
      <c r="C11" s="62">
        <v>0</v>
      </c>
      <c r="D11" s="62">
        <v>0</v>
      </c>
      <c r="E11" s="62">
        <v>803010</v>
      </c>
      <c r="F11" s="62">
        <v>8046339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68008</v>
      </c>
      <c r="C12" s="10"/>
      <c r="D12" s="11"/>
      <c r="E12" s="33">
        <f>E13+E14</f>
        <v>61068</v>
      </c>
      <c r="F12" s="34">
        <f>F13+F14</f>
        <v>6940</v>
      </c>
      <c r="G12" s="13">
        <f>SUM(H12:K12)</f>
        <v>0.1</v>
      </c>
      <c r="H12" s="10"/>
      <c r="I12" s="11"/>
      <c r="J12" s="35">
        <v>0.1</v>
      </c>
      <c r="K12" s="36"/>
    </row>
    <row r="13" spans="1:11" x14ac:dyDescent="0.25">
      <c r="A13" s="17" t="s">
        <v>10</v>
      </c>
      <c r="B13" s="18">
        <f t="shared" si="0"/>
        <v>61068</v>
      </c>
      <c r="C13" s="62">
        <v>0</v>
      </c>
      <c r="D13" s="62">
        <v>0</v>
      </c>
      <c r="E13" s="62">
        <v>61068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25">
        <f t="shared" si="0"/>
        <v>6940</v>
      </c>
      <c r="C14" s="62">
        <v>0</v>
      </c>
      <c r="D14" s="62">
        <v>0</v>
      </c>
      <c r="E14" s="62">
        <v>0</v>
      </c>
      <c r="F14" s="62">
        <v>6940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111379</v>
      </c>
      <c r="C15" s="32">
        <f>C16+C17</f>
        <v>0</v>
      </c>
      <c r="D15" s="33">
        <f>D16+D17</f>
        <v>0</v>
      </c>
      <c r="E15" s="33">
        <f>E16+E17</f>
        <v>36411</v>
      </c>
      <c r="F15" s="34">
        <f>F16+F17</f>
        <v>74968</v>
      </c>
      <c r="G15" s="13">
        <f>SUM(H15:K15)</f>
        <v>0.16800000000000001</v>
      </c>
      <c r="H15" s="10"/>
      <c r="I15" s="11"/>
      <c r="J15" s="35">
        <v>5.3999999999999999E-2</v>
      </c>
      <c r="K15" s="36">
        <v>0.114</v>
      </c>
    </row>
    <row r="16" spans="1:11" x14ac:dyDescent="0.25">
      <c r="A16" s="17" t="s">
        <v>10</v>
      </c>
      <c r="B16" s="46">
        <f t="shared" si="0"/>
        <v>111379</v>
      </c>
      <c r="C16" s="62">
        <v>0</v>
      </c>
      <c r="D16" s="62">
        <v>0</v>
      </c>
      <c r="E16" s="62">
        <v>36411</v>
      </c>
      <c r="F16" s="62">
        <v>74968</v>
      </c>
      <c r="G16" s="39"/>
      <c r="H16" s="21"/>
      <c r="I16" s="22"/>
      <c r="J16" s="22"/>
      <c r="K16" s="24"/>
    </row>
    <row r="17" spans="1:12" ht="15.75" thickBot="1" x14ac:dyDescent="0.3">
      <c r="A17" s="17" t="s">
        <v>11</v>
      </c>
      <c r="B17" s="47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2" x14ac:dyDescent="0.25">
      <c r="A18" s="8" t="s">
        <v>15</v>
      </c>
      <c r="B18" s="31">
        <f t="shared" si="0"/>
        <v>255954</v>
      </c>
      <c r="C18" s="32">
        <f>C19+C20</f>
        <v>0</v>
      </c>
      <c r="D18" s="33">
        <f>D19+D20</f>
        <v>0</v>
      </c>
      <c r="E18" s="33">
        <f>E19+E20</f>
        <v>28565</v>
      </c>
      <c r="F18" s="34">
        <f>F19+F20</f>
        <v>227389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2" x14ac:dyDescent="0.25">
      <c r="A19" s="17" t="s">
        <v>10</v>
      </c>
      <c r="B19" s="46">
        <f t="shared" si="0"/>
        <v>114063</v>
      </c>
      <c r="C19" s="62">
        <v>0</v>
      </c>
      <c r="D19" s="62">
        <v>0</v>
      </c>
      <c r="E19" s="62">
        <v>28565</v>
      </c>
      <c r="F19" s="62">
        <v>85498</v>
      </c>
      <c r="G19" s="39"/>
      <c r="H19" s="21"/>
      <c r="I19" s="22"/>
      <c r="J19" s="22"/>
      <c r="K19" s="24"/>
    </row>
    <row r="20" spans="1:12" ht="15.75" thickBot="1" x14ac:dyDescent="0.3">
      <c r="A20" s="17" t="s">
        <v>11</v>
      </c>
      <c r="B20" s="47">
        <f t="shared" si="0"/>
        <v>141891</v>
      </c>
      <c r="C20" s="62">
        <v>0</v>
      </c>
      <c r="D20" s="62">
        <v>0</v>
      </c>
      <c r="E20" s="62">
        <v>0</v>
      </c>
      <c r="F20" s="62">
        <v>141891</v>
      </c>
      <c r="G20" s="40"/>
      <c r="H20" s="28"/>
      <c r="I20" s="29"/>
      <c r="J20" s="29"/>
      <c r="K20" s="30"/>
      <c r="L20" s="97"/>
    </row>
    <row r="21" spans="1:12" x14ac:dyDescent="0.25">
      <c r="A21" s="8" t="s">
        <v>16</v>
      </c>
      <c r="B21" s="9">
        <f t="shared" si="0"/>
        <v>231565</v>
      </c>
      <c r="C21" s="48"/>
      <c r="D21" s="33"/>
      <c r="E21" s="33">
        <f>E22+E23</f>
        <v>231565</v>
      </c>
      <c r="F21" s="34">
        <f>F22+F23</f>
        <v>0</v>
      </c>
      <c r="G21" s="13">
        <f>SUM(H21:K21)</f>
        <v>1.6E-2</v>
      </c>
      <c r="H21" s="10"/>
      <c r="I21" s="11"/>
      <c r="J21" s="35">
        <v>1.6E-2</v>
      </c>
      <c r="K21" s="36"/>
    </row>
    <row r="22" spans="1:12" x14ac:dyDescent="0.25">
      <c r="A22" s="17" t="s">
        <v>10</v>
      </c>
      <c r="B22" s="18">
        <f t="shared" si="0"/>
        <v>231565</v>
      </c>
      <c r="C22" s="62">
        <v>0</v>
      </c>
      <c r="D22" s="62">
        <v>0</v>
      </c>
      <c r="E22" s="62">
        <v>231565</v>
      </c>
      <c r="F22" s="62">
        <v>0</v>
      </c>
      <c r="G22" s="39"/>
      <c r="H22" s="21"/>
      <c r="I22" s="22"/>
      <c r="J22" s="22"/>
      <c r="K22" s="24"/>
    </row>
    <row r="23" spans="1:12" ht="15.75" thickBot="1" x14ac:dyDescent="0.3">
      <c r="A23" s="17" t="s">
        <v>11</v>
      </c>
      <c r="B23" s="25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2" x14ac:dyDescent="0.25">
      <c r="A24" s="49" t="s">
        <v>17</v>
      </c>
      <c r="B24" s="9">
        <f t="shared" si="0"/>
        <v>467023</v>
      </c>
      <c r="C24" s="50"/>
      <c r="D24" s="35"/>
      <c r="E24" s="33">
        <f>E25+E26</f>
        <v>467023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2" x14ac:dyDescent="0.25">
      <c r="A25" s="51" t="s">
        <v>10</v>
      </c>
      <c r="B25" s="18">
        <f t="shared" si="0"/>
        <v>467023</v>
      </c>
      <c r="C25" s="62">
        <v>0</v>
      </c>
      <c r="D25" s="62">
        <v>0</v>
      </c>
      <c r="E25" s="62">
        <v>467023</v>
      </c>
      <c r="F25" s="62">
        <v>0</v>
      </c>
      <c r="G25" s="39"/>
      <c r="H25" s="21"/>
      <c r="I25" s="22"/>
      <c r="J25" s="22"/>
      <c r="K25" s="24"/>
    </row>
    <row r="26" spans="1:12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2" x14ac:dyDescent="0.25">
      <c r="B28" s="55"/>
    </row>
    <row r="29" spans="1:12" x14ac:dyDescent="0.25">
      <c r="B29" s="55"/>
      <c r="G29" s="61"/>
    </row>
    <row r="30" spans="1:12" x14ac:dyDescent="0.25">
      <c r="B30" s="55"/>
      <c r="H30" s="64"/>
    </row>
    <row r="31" spans="1:12" x14ac:dyDescent="0.25">
      <c r="B31" s="55"/>
    </row>
    <row r="32" spans="1:12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32"/>
  <sheetViews>
    <sheetView zoomScaleNormal="100"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11" max="11" width="11.140625" customWidth="1"/>
  </cols>
  <sheetData>
    <row r="1" spans="1:11" ht="15" customHeight="1" x14ac:dyDescent="0.2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164452413</v>
      </c>
      <c r="C6" s="10">
        <f>C7+C8</f>
        <v>6918995</v>
      </c>
      <c r="D6" s="11">
        <f>D7+D8</f>
        <v>472538</v>
      </c>
      <c r="E6" s="11">
        <f>E7+E8</f>
        <v>65670372</v>
      </c>
      <c r="F6" s="12">
        <f>F7+F8</f>
        <v>91390508</v>
      </c>
      <c r="G6" s="13">
        <f>SUM(H6:K6)</f>
        <v>18.966438</v>
      </c>
      <c r="H6" s="14">
        <v>0.441</v>
      </c>
      <c r="I6" s="15"/>
      <c r="J6" s="16">
        <f>14.785039+0.017</f>
        <v>14.802038999999999</v>
      </c>
      <c r="K6" s="67">
        <f>3.719399+0.004</f>
        <v>3.7233990000000001</v>
      </c>
    </row>
    <row r="7" spans="1:11" x14ac:dyDescent="0.25">
      <c r="A7" s="17" t="s">
        <v>10</v>
      </c>
      <c r="B7" s="18">
        <f t="shared" si="0"/>
        <v>89469620</v>
      </c>
      <c r="C7" s="62">
        <v>6918995</v>
      </c>
      <c r="D7" s="62">
        <v>472538</v>
      </c>
      <c r="E7" s="62">
        <v>58113445</v>
      </c>
      <c r="F7" s="65">
        <v>23964642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74982793</v>
      </c>
      <c r="C8" s="62">
        <v>0</v>
      </c>
      <c r="D8" s="62">
        <v>0</v>
      </c>
      <c r="E8" s="62">
        <v>7556927</v>
      </c>
      <c r="F8" s="66">
        <v>67425866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68">
        <f t="shared" si="0"/>
        <v>17907975</v>
      </c>
      <c r="C9" s="32">
        <f>C10+C11</f>
        <v>0</v>
      </c>
      <c r="D9" s="33">
        <f>D10+D11</f>
        <v>0</v>
      </c>
      <c r="E9" s="33">
        <f>E10+E11</f>
        <v>8176469</v>
      </c>
      <c r="F9" s="34">
        <f>F10+F11</f>
        <v>9731506</v>
      </c>
      <c r="G9" s="13">
        <f>SUM(H9:K9)</f>
        <v>3.903251</v>
      </c>
      <c r="H9" s="10"/>
      <c r="I9" s="11"/>
      <c r="J9" s="57">
        <v>3.7122510000000002</v>
      </c>
      <c r="K9" s="36">
        <v>0.191</v>
      </c>
    </row>
    <row r="10" spans="1:11" x14ac:dyDescent="0.25">
      <c r="A10" s="17" t="s">
        <v>10</v>
      </c>
      <c r="B10" s="69">
        <f t="shared" si="0"/>
        <v>9138142</v>
      </c>
      <c r="C10" s="62">
        <v>0</v>
      </c>
      <c r="D10" s="62">
        <v>0</v>
      </c>
      <c r="E10" s="62">
        <v>7300787</v>
      </c>
      <c r="F10" s="62">
        <v>1837355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70">
        <f t="shared" si="0"/>
        <v>8769833</v>
      </c>
      <c r="C11" s="62">
        <v>0</v>
      </c>
      <c r="D11" s="62">
        <v>0</v>
      </c>
      <c r="E11" s="62">
        <v>875682</v>
      </c>
      <c r="F11" s="62">
        <v>7894151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71">
        <f t="shared" si="0"/>
        <v>66003</v>
      </c>
      <c r="C12" s="10"/>
      <c r="D12" s="11"/>
      <c r="E12" s="33">
        <f>E13+E14</f>
        <v>61123</v>
      </c>
      <c r="F12" s="34">
        <f>F13+F14</f>
        <v>4880</v>
      </c>
      <c r="G12" s="13">
        <f>SUM(H12:K12)</f>
        <v>0.104</v>
      </c>
      <c r="H12" s="10"/>
      <c r="I12" s="11"/>
      <c r="J12" s="35">
        <v>0.104</v>
      </c>
      <c r="K12" s="36"/>
    </row>
    <row r="13" spans="1:11" x14ac:dyDescent="0.25">
      <c r="A13" s="17" t="s">
        <v>10</v>
      </c>
      <c r="B13" s="69">
        <f t="shared" si="0"/>
        <v>61123</v>
      </c>
      <c r="C13" s="62">
        <v>0</v>
      </c>
      <c r="D13" s="62">
        <v>0</v>
      </c>
      <c r="E13" s="62">
        <v>61123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70">
        <f t="shared" si="0"/>
        <v>4880</v>
      </c>
      <c r="C14" s="62">
        <v>0</v>
      </c>
      <c r="D14" s="62">
        <v>0</v>
      </c>
      <c r="E14" s="62">
        <v>0</v>
      </c>
      <c r="F14" s="62">
        <v>4880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68">
        <f t="shared" si="0"/>
        <v>100869</v>
      </c>
      <c r="C15" s="32">
        <f>C16+C17</f>
        <v>0</v>
      </c>
      <c r="D15" s="33">
        <f>D16+D17</f>
        <v>0</v>
      </c>
      <c r="E15" s="33">
        <f>E16+E17</f>
        <v>33653</v>
      </c>
      <c r="F15" s="34">
        <f>F16+F17</f>
        <v>67216</v>
      </c>
      <c r="G15" s="13">
        <f>SUM(H15:K15)</f>
        <v>0.15100000000000002</v>
      </c>
      <c r="H15" s="10"/>
      <c r="I15" s="11"/>
      <c r="J15" s="35">
        <v>0.05</v>
      </c>
      <c r="K15" s="36">
        <v>0.10100000000000001</v>
      </c>
    </row>
    <row r="16" spans="1:11" x14ac:dyDescent="0.25">
      <c r="A16" s="17" t="s">
        <v>10</v>
      </c>
      <c r="B16" s="72">
        <f t="shared" si="0"/>
        <v>100869</v>
      </c>
      <c r="C16" s="62">
        <v>0</v>
      </c>
      <c r="D16" s="62">
        <v>0</v>
      </c>
      <c r="E16" s="62">
        <v>33653</v>
      </c>
      <c r="F16" s="62">
        <v>67216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73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68">
        <f t="shared" si="0"/>
        <v>215204</v>
      </c>
      <c r="C18" s="32">
        <f>C19+C20</f>
        <v>0</v>
      </c>
      <c r="D18" s="33">
        <f>D19+D20</f>
        <v>0</v>
      </c>
      <c r="E18" s="33">
        <f>E19+E20</f>
        <v>30086</v>
      </c>
      <c r="F18" s="34">
        <f>F19+F20</f>
        <v>185118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72">
        <f t="shared" si="0"/>
        <v>130810</v>
      </c>
      <c r="C19" s="62">
        <v>0</v>
      </c>
      <c r="D19" s="62">
        <v>0</v>
      </c>
      <c r="E19" s="62">
        <v>30086</v>
      </c>
      <c r="F19" s="62">
        <v>100724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73">
        <f t="shared" si="0"/>
        <v>84394</v>
      </c>
      <c r="C20" s="62">
        <v>0</v>
      </c>
      <c r="D20" s="62">
        <v>0</v>
      </c>
      <c r="E20" s="62">
        <v>0</v>
      </c>
      <c r="F20" s="62">
        <v>84394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71">
        <f t="shared" si="0"/>
        <v>323919</v>
      </c>
      <c r="C21" s="48"/>
      <c r="D21" s="33"/>
      <c r="E21" s="33">
        <f>E22+E23</f>
        <v>323919</v>
      </c>
      <c r="F21" s="34">
        <f>F22+F23</f>
        <v>0</v>
      </c>
      <c r="G21" s="13">
        <f>SUM(H21:K21)</f>
        <v>1.4999999999999999E-2</v>
      </c>
      <c r="H21" s="10"/>
      <c r="I21" s="11"/>
      <c r="J21" s="35">
        <f>0.015</f>
        <v>1.4999999999999999E-2</v>
      </c>
      <c r="K21" s="36"/>
    </row>
    <row r="22" spans="1:11" x14ac:dyDescent="0.25">
      <c r="A22" s="17" t="s">
        <v>10</v>
      </c>
      <c r="B22" s="69">
        <f t="shared" si="0"/>
        <v>323919</v>
      </c>
      <c r="C22" s="62">
        <v>0</v>
      </c>
      <c r="D22" s="62">
        <v>0</v>
      </c>
      <c r="E22" s="62">
        <v>323919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70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71">
        <f t="shared" si="0"/>
        <v>417558</v>
      </c>
      <c r="C24" s="50"/>
      <c r="D24" s="35"/>
      <c r="E24" s="33">
        <f>E25+E26</f>
        <v>417558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417558</v>
      </c>
      <c r="C25" s="62">
        <v>0</v>
      </c>
      <c r="D25" s="62">
        <v>0</v>
      </c>
      <c r="E25" s="62">
        <v>417558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4"/>
    </row>
    <row r="31" spans="1:11" x14ac:dyDescent="0.25">
      <c r="B31" s="55"/>
    </row>
    <row r="32" spans="1:11" x14ac:dyDescent="0.25">
      <c r="B32" s="55"/>
      <c r="C32" s="55"/>
      <c r="E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32"/>
  <sheetViews>
    <sheetView zoomScaleNormal="100" workbookViewId="0">
      <selection activeCell="B29" sqref="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10" max="10" width="13.42578125" bestFit="1" customWidth="1"/>
    <col min="11" max="11" width="11.140625" customWidth="1"/>
  </cols>
  <sheetData>
    <row r="1" spans="1:11" ht="15" customHeight="1" x14ac:dyDescent="0.2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 thickBot="1" x14ac:dyDescent="0.3">
      <c r="A4" s="100" t="s">
        <v>1</v>
      </c>
      <c r="B4" s="102" t="s">
        <v>2</v>
      </c>
      <c r="C4" s="103"/>
      <c r="D4" s="103"/>
      <c r="E4" s="103"/>
      <c r="F4" s="104"/>
      <c r="G4" s="102" t="s">
        <v>3</v>
      </c>
      <c r="H4" s="103"/>
      <c r="I4" s="103"/>
      <c r="J4" s="103"/>
      <c r="K4" s="104"/>
    </row>
    <row r="5" spans="1:11" ht="15.75" thickBot="1" x14ac:dyDescent="0.3">
      <c r="A5" s="10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186994605</v>
      </c>
      <c r="C6" s="10">
        <f>C7+C8</f>
        <v>6850820</v>
      </c>
      <c r="D6" s="11">
        <f>D7+D8</f>
        <v>560312</v>
      </c>
      <c r="E6" s="11">
        <f>E7+E8</f>
        <v>75509047</v>
      </c>
      <c r="F6" s="12">
        <f>F7+F8</f>
        <v>104074426</v>
      </c>
      <c r="G6" s="13">
        <f>SUM(H6:K6)</f>
        <v>21.246862</v>
      </c>
      <c r="H6" s="14">
        <v>0.41499999999999998</v>
      </c>
      <c r="I6" s="15"/>
      <c r="J6" s="16">
        <v>16.772801000000001</v>
      </c>
      <c r="K6" s="67">
        <v>4.0590609999999998</v>
      </c>
    </row>
    <row r="7" spans="1:11" x14ac:dyDescent="0.25">
      <c r="A7" s="17" t="s">
        <v>10</v>
      </c>
      <c r="B7" s="18">
        <f t="shared" si="0"/>
        <v>100337501</v>
      </c>
      <c r="C7" s="62">
        <f>6817075+33745</f>
        <v>6850820</v>
      </c>
      <c r="D7" s="62">
        <v>560312</v>
      </c>
      <c r="E7" s="62">
        <f>64978878+550622</f>
        <v>65529500</v>
      </c>
      <c r="F7" s="65">
        <f>27086086+310783</f>
        <v>27396869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86657104</v>
      </c>
      <c r="C8" s="62">
        <v>0</v>
      </c>
      <c r="D8" s="62">
        <v>0</v>
      </c>
      <c r="E8" s="62">
        <v>9979547</v>
      </c>
      <c r="F8" s="66">
        <f>74960868+1716689</f>
        <v>76677557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68">
        <f t="shared" si="0"/>
        <v>20083669</v>
      </c>
      <c r="C9" s="32">
        <f>C10+C11</f>
        <v>0</v>
      </c>
      <c r="D9" s="33">
        <f>D10+D11</f>
        <v>0</v>
      </c>
      <c r="E9" s="33">
        <f>E10+E11</f>
        <v>8900162</v>
      </c>
      <c r="F9" s="34">
        <f>F10+F11</f>
        <v>11183507</v>
      </c>
      <c r="G9" s="13">
        <f>SUM(H9:K9)</f>
        <v>4.144374</v>
      </c>
      <c r="H9" s="10"/>
      <c r="I9" s="11"/>
      <c r="J9" s="57">
        <v>3.942374</v>
      </c>
      <c r="K9" s="36">
        <v>0.20200000000000001</v>
      </c>
    </row>
    <row r="10" spans="1:11" x14ac:dyDescent="0.25">
      <c r="A10" s="17" t="s">
        <v>10</v>
      </c>
      <c r="B10" s="69">
        <f t="shared" si="0"/>
        <v>9816783</v>
      </c>
      <c r="C10" s="62">
        <v>0</v>
      </c>
      <c r="D10" s="62">
        <v>0</v>
      </c>
      <c r="E10" s="62">
        <v>7663029</v>
      </c>
      <c r="F10" s="62">
        <v>2153754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70">
        <f t="shared" si="0"/>
        <v>10266886</v>
      </c>
      <c r="C11" s="62">
        <v>0</v>
      </c>
      <c r="D11" s="62">
        <v>0</v>
      </c>
      <c r="E11" s="62">
        <v>1237133</v>
      </c>
      <c r="F11" s="62">
        <v>9029753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71">
        <f t="shared" si="0"/>
        <v>80679</v>
      </c>
      <c r="C12" s="10"/>
      <c r="D12" s="11"/>
      <c r="E12" s="33">
        <f>E13+E14</f>
        <v>71805</v>
      </c>
      <c r="F12" s="34">
        <f>F13+F14</f>
        <v>8874</v>
      </c>
      <c r="G12" s="13">
        <f>SUM(H12:K12)</f>
        <v>0.129</v>
      </c>
      <c r="H12" s="10"/>
      <c r="I12" s="11"/>
      <c r="J12" s="35">
        <v>0.129</v>
      </c>
      <c r="K12" s="36"/>
    </row>
    <row r="13" spans="1:11" x14ac:dyDescent="0.25">
      <c r="A13" s="17" t="s">
        <v>10</v>
      </c>
      <c r="B13" s="69">
        <f t="shared" si="0"/>
        <v>71805</v>
      </c>
      <c r="C13" s="62">
        <v>0</v>
      </c>
      <c r="D13" s="62">
        <v>0</v>
      </c>
      <c r="E13" s="62">
        <v>71805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70">
        <f t="shared" si="0"/>
        <v>8874</v>
      </c>
      <c r="C14" s="62">
        <v>0</v>
      </c>
      <c r="D14" s="62">
        <v>0</v>
      </c>
      <c r="E14" s="62">
        <v>0</v>
      </c>
      <c r="F14" s="62">
        <v>8874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68">
        <f t="shared" si="0"/>
        <v>92547</v>
      </c>
      <c r="C15" s="32">
        <f>C16+C17</f>
        <v>0</v>
      </c>
      <c r="D15" s="33">
        <f>D16+D17</f>
        <v>0</v>
      </c>
      <c r="E15" s="33">
        <f>E16+E17</f>
        <v>32154</v>
      </c>
      <c r="F15" s="34">
        <f>F16+F17</f>
        <v>60393</v>
      </c>
      <c r="G15" s="13">
        <f>SUM(H15:K15)</f>
        <v>0.14200000000000002</v>
      </c>
      <c r="H15" s="10"/>
      <c r="I15" s="11"/>
      <c r="J15" s="35">
        <v>0.05</v>
      </c>
      <c r="K15" s="36">
        <v>9.1999999999999998E-2</v>
      </c>
    </row>
    <row r="16" spans="1:11" x14ac:dyDescent="0.25">
      <c r="A16" s="17" t="s">
        <v>10</v>
      </c>
      <c r="B16" s="72">
        <f t="shared" si="0"/>
        <v>92547</v>
      </c>
      <c r="C16" s="62">
        <v>0</v>
      </c>
      <c r="D16" s="62">
        <v>0</v>
      </c>
      <c r="E16" s="62">
        <v>32154</v>
      </c>
      <c r="F16" s="62">
        <v>60393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73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68">
        <f t="shared" si="0"/>
        <v>245403</v>
      </c>
      <c r="C18" s="32">
        <f>C19+C20</f>
        <v>0</v>
      </c>
      <c r="D18" s="33">
        <f>D19+D20</f>
        <v>0</v>
      </c>
      <c r="E18" s="33">
        <f>E19+E20</f>
        <v>35270</v>
      </c>
      <c r="F18" s="34">
        <f>F19+F20</f>
        <v>210133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17" t="s">
        <v>10</v>
      </c>
      <c r="B19" s="72">
        <f t="shared" si="0"/>
        <v>147554</v>
      </c>
      <c r="C19" s="62">
        <v>0</v>
      </c>
      <c r="D19" s="62">
        <v>0</v>
      </c>
      <c r="E19" s="62">
        <v>35270</v>
      </c>
      <c r="F19" s="62">
        <v>112284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73">
        <f t="shared" si="0"/>
        <v>97849</v>
      </c>
      <c r="C20" s="62">
        <v>0</v>
      </c>
      <c r="D20" s="62">
        <v>0</v>
      </c>
      <c r="E20" s="62">
        <v>0</v>
      </c>
      <c r="F20" s="62">
        <v>97849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71">
        <f t="shared" si="0"/>
        <v>300724</v>
      </c>
      <c r="C21" s="48"/>
      <c r="D21" s="33"/>
      <c r="E21" s="33">
        <f>E22+E23</f>
        <v>300724</v>
      </c>
      <c r="F21" s="34">
        <f>F22+F23</f>
        <v>0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17" t="s">
        <v>10</v>
      </c>
      <c r="B22" s="69">
        <f t="shared" si="0"/>
        <v>292626</v>
      </c>
      <c r="C22" s="62">
        <v>0</v>
      </c>
      <c r="D22" s="62">
        <v>0</v>
      </c>
      <c r="E22" s="62">
        <v>292626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70">
        <f t="shared" si="0"/>
        <v>8098</v>
      </c>
      <c r="C23" s="62">
        <v>0</v>
      </c>
      <c r="D23" s="62">
        <v>0</v>
      </c>
      <c r="E23" s="62">
        <v>8098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71">
        <f t="shared" si="0"/>
        <v>427485</v>
      </c>
      <c r="C24" s="50"/>
      <c r="D24" s="35"/>
      <c r="E24" s="33">
        <f>E25+E26</f>
        <v>427485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427485</v>
      </c>
      <c r="C25" s="62">
        <v>0</v>
      </c>
      <c r="D25" s="62">
        <v>0</v>
      </c>
      <c r="E25" s="62">
        <v>427485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4"/>
    </row>
    <row r="31" spans="1:11" x14ac:dyDescent="0.25">
      <c r="B31" s="55"/>
    </row>
    <row r="32" spans="1:11" x14ac:dyDescent="0.25">
      <c r="B32" s="55"/>
      <c r="C32" s="55"/>
      <c r="E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2021-12-16T08:31:52Z</dcterms:modified>
</cp:coreProperties>
</file>