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2\"/>
    </mc:Choice>
  </mc:AlternateContent>
  <bookViews>
    <workbookView xWindow="0" yWindow="0" windowWidth="28800" windowHeight="14235" firstSheet="2" activeTab="11"/>
  </bookViews>
  <sheets>
    <sheet name="январь 2022" sheetId="1" r:id="rId1"/>
    <sheet name="февраль 2022" sheetId="2" r:id="rId2"/>
    <sheet name="март 2022" sheetId="3" r:id="rId3"/>
    <sheet name="апрель 2022" sheetId="4" r:id="rId4"/>
    <sheet name="май 2022" sheetId="5" r:id="rId5"/>
    <sheet name="июнь 2022" sheetId="6" r:id="rId6"/>
    <sheet name="июль 2022" sheetId="7" r:id="rId7"/>
    <sheet name="август 2022" sheetId="8" r:id="rId8"/>
    <sheet name="сентябрь 2022" sheetId="9" r:id="rId9"/>
    <sheet name="октябрь 2022" sheetId="10" r:id="rId10"/>
    <sheet name="ноябрь 2022" sheetId="11" r:id="rId11"/>
    <sheet name="декабрь 2022" sheetId="12" r:id="rId12"/>
  </sheets>
  <definedNames>
    <definedName name="asda" localSheetId="7">#REF!</definedName>
    <definedName name="asda" localSheetId="3">#REF!</definedName>
    <definedName name="asda" localSheetId="11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10">#REF!</definedName>
    <definedName name="asda" localSheetId="9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11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10">#REF!</definedName>
    <definedName name="l" localSheetId="9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11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жлщог" localSheetId="11">#REF!</definedName>
    <definedName name="жлщог">#REF!</definedName>
    <definedName name="наенг" localSheetId="11">#REF!</definedName>
    <definedName name="наенг">#REF!</definedName>
    <definedName name="псел" localSheetId="11">#REF!</definedName>
    <definedName name="псел">#REF!</definedName>
    <definedName name="рманга" localSheetId="11">#REF!</definedName>
    <definedName name="рманга">#REF!</definedName>
    <definedName name="рмпнрга" localSheetId="11">#REF!</definedName>
    <definedName name="рмпнрга">#REF!</definedName>
    <definedName name="рп" localSheetId="7">#REF!</definedName>
    <definedName name="рп" localSheetId="3">#REF!</definedName>
    <definedName name="рп" localSheetId="11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10">#REF!</definedName>
    <definedName name="рп" localSheetId="9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11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10">#REF!</definedName>
    <definedName name="сент" localSheetId="9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2" l="1"/>
  <c r="E15" i="12" l="1"/>
  <c r="D6" i="12"/>
  <c r="D24" i="12"/>
  <c r="F18" i="12"/>
  <c r="E24" i="12"/>
  <c r="G21" i="11"/>
  <c r="G18" i="11"/>
  <c r="G6" i="11"/>
  <c r="B26" i="11"/>
  <c r="B25" i="11"/>
  <c r="G24" i="11"/>
  <c r="F24" i="11"/>
  <c r="B24" i="11" s="1"/>
  <c r="E24" i="11"/>
  <c r="B23" i="11"/>
  <c r="B22" i="11"/>
  <c r="F21" i="11"/>
  <c r="B21" i="11" s="1"/>
  <c r="E21" i="11"/>
  <c r="B20" i="11"/>
  <c r="B19" i="11"/>
  <c r="F18" i="11"/>
  <c r="E18" i="11"/>
  <c r="D18" i="11"/>
  <c r="C18" i="11"/>
  <c r="B17" i="11"/>
  <c r="B16" i="11"/>
  <c r="G15" i="11"/>
  <c r="F15" i="11"/>
  <c r="E15" i="11"/>
  <c r="D15" i="11"/>
  <c r="B15" i="11" s="1"/>
  <c r="C15" i="11"/>
  <c r="B14" i="11"/>
  <c r="B13" i="11"/>
  <c r="G12" i="11"/>
  <c r="F12" i="11"/>
  <c r="E12" i="11"/>
  <c r="B12" i="11"/>
  <c r="B11" i="11"/>
  <c r="B10" i="11"/>
  <c r="G9" i="11"/>
  <c r="F9" i="11"/>
  <c r="E9" i="11"/>
  <c r="B9" i="11" s="1"/>
  <c r="D9" i="11"/>
  <c r="C9" i="11"/>
  <c r="B8" i="11"/>
  <c r="E6" i="11"/>
  <c r="B7" i="11"/>
  <c r="F6" i="11"/>
  <c r="D6" i="11"/>
  <c r="C6" i="11"/>
  <c r="F21" i="12" l="1"/>
  <c r="F12" i="12"/>
  <c r="D9" i="12"/>
  <c r="C18" i="12"/>
  <c r="D21" i="12"/>
  <c r="F15" i="12"/>
  <c r="E12" i="12"/>
  <c r="C24" i="12"/>
  <c r="B25" i="12"/>
  <c r="D18" i="12"/>
  <c r="D12" i="12"/>
  <c r="B8" i="12"/>
  <c r="E9" i="12"/>
  <c r="E18" i="12"/>
  <c r="D15" i="12"/>
  <c r="B7" i="12"/>
  <c r="C6" i="12"/>
  <c r="B23" i="12"/>
  <c r="B17" i="12"/>
  <c r="B20" i="12"/>
  <c r="E21" i="12"/>
  <c r="C15" i="12"/>
  <c r="B16" i="12"/>
  <c r="F9" i="12"/>
  <c r="F24" i="12"/>
  <c r="B26" i="12"/>
  <c r="B14" i="12"/>
  <c r="F6" i="12"/>
  <c r="E6" i="12"/>
  <c r="B18" i="11"/>
  <c r="B6" i="11"/>
  <c r="F8" i="10"/>
  <c r="F7" i="10"/>
  <c r="C7" i="10"/>
  <c r="E7" i="10"/>
  <c r="B15" i="12" l="1"/>
  <c r="B10" i="12"/>
  <c r="C9" i="12"/>
  <c r="B9" i="12" s="1"/>
  <c r="C21" i="12"/>
  <c r="B21" i="12" s="1"/>
  <c r="G21" i="12" s="1"/>
  <c r="B6" i="12"/>
  <c r="B22" i="12"/>
  <c r="B24" i="12"/>
  <c r="B18" i="12"/>
  <c r="G18" i="12" s="1"/>
  <c r="B13" i="12"/>
  <c r="C12" i="12"/>
  <c r="B12" i="12" s="1"/>
  <c r="G12" i="12" s="1"/>
  <c r="B11" i="12"/>
  <c r="B19" i="12"/>
  <c r="G21" i="10"/>
  <c r="G18" i="10"/>
  <c r="G15" i="10"/>
  <c r="G12" i="10"/>
  <c r="G9" i="10"/>
  <c r="G6" i="10"/>
  <c r="B26" i="10"/>
  <c r="B25" i="10"/>
  <c r="G24" i="10"/>
  <c r="F24" i="10"/>
  <c r="B24" i="10" s="1"/>
  <c r="E24" i="10"/>
  <c r="B23" i="10"/>
  <c r="B22" i="10"/>
  <c r="F21" i="10"/>
  <c r="E21" i="10"/>
  <c r="B21" i="10" s="1"/>
  <c r="B20" i="10"/>
  <c r="B19" i="10"/>
  <c r="F18" i="10"/>
  <c r="E18" i="10"/>
  <c r="D18" i="10"/>
  <c r="C18" i="10"/>
  <c r="B17" i="10"/>
  <c r="B16" i="10"/>
  <c r="F15" i="10"/>
  <c r="E15" i="10"/>
  <c r="D15" i="10"/>
  <c r="C15" i="10"/>
  <c r="B14" i="10"/>
  <c r="B13" i="10"/>
  <c r="F12" i="10"/>
  <c r="E12" i="10"/>
  <c r="B12" i="10"/>
  <c r="B11" i="10"/>
  <c r="B10" i="10"/>
  <c r="F9" i="10"/>
  <c r="E9" i="10"/>
  <c r="D9" i="10"/>
  <c r="C9" i="10"/>
  <c r="B8" i="10"/>
  <c r="E6" i="10"/>
  <c r="F6" i="10"/>
  <c r="D6" i="10"/>
  <c r="C6" i="10"/>
  <c r="G9" i="12" l="1"/>
  <c r="G6" i="12"/>
  <c r="B18" i="10"/>
  <c r="B15" i="10"/>
  <c r="B9" i="10"/>
  <c r="B6" i="10"/>
  <c r="B7" i="10"/>
  <c r="F8" i="9"/>
  <c r="E8" i="9"/>
  <c r="F7" i="9"/>
  <c r="E7" i="9"/>
  <c r="C7" i="9"/>
  <c r="G15" i="12" l="1"/>
  <c r="G21" i="9"/>
  <c r="G18" i="9"/>
  <c r="G12" i="9"/>
  <c r="B26" i="9"/>
  <c r="B25" i="9"/>
  <c r="G24" i="9"/>
  <c r="F24" i="9"/>
  <c r="B24" i="9" s="1"/>
  <c r="E24" i="9"/>
  <c r="B23" i="9"/>
  <c r="B22" i="9"/>
  <c r="F21" i="9"/>
  <c r="E21" i="9"/>
  <c r="B21" i="9" s="1"/>
  <c r="B20" i="9"/>
  <c r="B19" i="9"/>
  <c r="F18" i="9"/>
  <c r="E18" i="9"/>
  <c r="D18" i="9"/>
  <c r="C18" i="9"/>
  <c r="B17" i="9"/>
  <c r="B16" i="9"/>
  <c r="F15" i="9"/>
  <c r="E15" i="9"/>
  <c r="B15" i="9" s="1"/>
  <c r="D15" i="9"/>
  <c r="C15" i="9"/>
  <c r="B14" i="9"/>
  <c r="B13" i="9"/>
  <c r="F12" i="9"/>
  <c r="B12" i="9" s="1"/>
  <c r="E12" i="9"/>
  <c r="B11" i="9"/>
  <c r="B10" i="9"/>
  <c r="F9" i="9"/>
  <c r="E9" i="9"/>
  <c r="D9" i="9"/>
  <c r="C9" i="9"/>
  <c r="B8" i="9"/>
  <c r="B7" i="9"/>
  <c r="F6" i="9"/>
  <c r="E6" i="9"/>
  <c r="D6" i="9"/>
  <c r="C6" i="9"/>
  <c r="B18" i="9" l="1"/>
  <c r="G15" i="9"/>
  <c r="G9" i="9"/>
  <c r="G6" i="9"/>
  <c r="B9" i="9"/>
  <c r="B6" i="9"/>
  <c r="G21" i="8"/>
  <c r="G18" i="8"/>
  <c r="G12" i="8"/>
  <c r="B26" i="8"/>
  <c r="B25" i="8"/>
  <c r="G24" i="8"/>
  <c r="F24" i="8"/>
  <c r="E24" i="8"/>
  <c r="B23" i="8"/>
  <c r="B22" i="8"/>
  <c r="F21" i="8"/>
  <c r="E21" i="8"/>
  <c r="B21" i="8"/>
  <c r="B20" i="8"/>
  <c r="B19" i="8"/>
  <c r="F18" i="8"/>
  <c r="E18" i="8"/>
  <c r="D18" i="8"/>
  <c r="C18" i="8"/>
  <c r="B17" i="8"/>
  <c r="B16" i="8"/>
  <c r="F15" i="8"/>
  <c r="E15" i="8"/>
  <c r="D15" i="8"/>
  <c r="C15" i="8"/>
  <c r="B14" i="8"/>
  <c r="B13" i="8"/>
  <c r="F12" i="8"/>
  <c r="E12" i="8"/>
  <c r="B12" i="8"/>
  <c r="B11" i="8"/>
  <c r="B10" i="8"/>
  <c r="G9" i="8"/>
  <c r="F9" i="8"/>
  <c r="E9" i="8"/>
  <c r="D9" i="8"/>
  <c r="C9" i="8"/>
  <c r="B8" i="8"/>
  <c r="E6" i="8"/>
  <c r="G6" i="8"/>
  <c r="F6" i="8"/>
  <c r="D6" i="8"/>
  <c r="C6" i="8"/>
  <c r="B6" i="8" l="1"/>
  <c r="B9" i="8"/>
  <c r="G15" i="8"/>
  <c r="B24" i="8"/>
  <c r="B18" i="8"/>
  <c r="B15" i="8"/>
  <c r="B7" i="8"/>
  <c r="F8" i="7"/>
  <c r="F7" i="7"/>
  <c r="E7" i="7"/>
  <c r="C7" i="7"/>
  <c r="F19" i="7" l="1"/>
  <c r="F20" i="7"/>
  <c r="G12" i="7" l="1"/>
  <c r="G6" i="7"/>
  <c r="B11" i="7"/>
  <c r="D9" i="7"/>
  <c r="B10" i="7"/>
  <c r="B8" i="7"/>
  <c r="B7" i="7"/>
  <c r="B26" i="7"/>
  <c r="B25" i="7"/>
  <c r="G24" i="7"/>
  <c r="F24" i="7"/>
  <c r="E24" i="7"/>
  <c r="B24" i="7" s="1"/>
  <c r="B23" i="7"/>
  <c r="B22" i="7"/>
  <c r="G21" i="7"/>
  <c r="F21" i="7"/>
  <c r="E21" i="7"/>
  <c r="B21" i="7" s="1"/>
  <c r="B20" i="7"/>
  <c r="B19" i="7"/>
  <c r="G18" i="7"/>
  <c r="F18" i="7"/>
  <c r="E18" i="7"/>
  <c r="D18" i="7"/>
  <c r="C18" i="7"/>
  <c r="B18" i="7"/>
  <c r="B17" i="7"/>
  <c r="B16" i="7"/>
  <c r="G15" i="7"/>
  <c r="F15" i="7"/>
  <c r="E15" i="7"/>
  <c r="D15" i="7"/>
  <c r="C15" i="7"/>
  <c r="B15" i="7"/>
  <c r="B14" i="7"/>
  <c r="B13" i="7"/>
  <c r="F12" i="7"/>
  <c r="E12" i="7"/>
  <c r="G9" i="7"/>
  <c r="F9" i="7"/>
  <c r="E9" i="7"/>
  <c r="F6" i="7"/>
  <c r="E6" i="7"/>
  <c r="D6" i="7"/>
  <c r="B12" i="7" l="1"/>
  <c r="C9" i="7"/>
  <c r="B9" i="7" s="1"/>
  <c r="C6" i="7"/>
  <c r="B6" i="7" s="1"/>
  <c r="J6" i="6"/>
  <c r="K6" i="6"/>
  <c r="C7" i="6"/>
  <c r="E7" i="6"/>
  <c r="F7" i="6"/>
  <c r="F8" i="6"/>
  <c r="G21" i="6" l="1"/>
  <c r="G18" i="6"/>
  <c r="B19" i="6"/>
  <c r="C18" i="6"/>
  <c r="B18" i="6" s="1"/>
  <c r="D18" i="6"/>
  <c r="B13" i="6"/>
  <c r="B11" i="6"/>
  <c r="B10" i="6"/>
  <c r="B7" i="6"/>
  <c r="B26" i="6"/>
  <c r="B25" i="6"/>
  <c r="G24" i="6"/>
  <c r="F24" i="6"/>
  <c r="E24" i="6"/>
  <c r="B24" i="6" s="1"/>
  <c r="B23" i="6"/>
  <c r="B22" i="6"/>
  <c r="F21" i="6"/>
  <c r="E21" i="6"/>
  <c r="B20" i="6"/>
  <c r="F18" i="6"/>
  <c r="E18" i="6"/>
  <c r="B17" i="6"/>
  <c r="B16" i="6"/>
  <c r="G15" i="6"/>
  <c r="F15" i="6"/>
  <c r="E15" i="6"/>
  <c r="B15" i="6" s="1"/>
  <c r="D15" i="6"/>
  <c r="C15" i="6"/>
  <c r="B14" i="6"/>
  <c r="G12" i="6"/>
  <c r="F12" i="6"/>
  <c r="E12" i="6"/>
  <c r="F9" i="6"/>
  <c r="E9" i="6"/>
  <c r="D9" i="6"/>
  <c r="C9" i="6"/>
  <c r="B8" i="6"/>
  <c r="E6" i="6"/>
  <c r="G6" i="6"/>
  <c r="F6" i="6"/>
  <c r="D6" i="6"/>
  <c r="C6" i="6"/>
  <c r="B21" i="6" l="1"/>
  <c r="G9" i="6"/>
  <c r="B12" i="6"/>
  <c r="B9" i="6"/>
  <c r="B6" i="6"/>
  <c r="F8" i="5"/>
  <c r="F7" i="5"/>
  <c r="E7" i="5"/>
  <c r="C7" i="5"/>
  <c r="G18" i="5" l="1"/>
  <c r="B17" i="5"/>
  <c r="B16" i="5"/>
  <c r="B14" i="5"/>
  <c r="E12" i="5"/>
  <c r="B13" i="5"/>
  <c r="B11" i="5"/>
  <c r="C9" i="5"/>
  <c r="B8" i="5"/>
  <c r="F6" i="5"/>
  <c r="B26" i="5"/>
  <c r="B25" i="5"/>
  <c r="G24" i="5"/>
  <c r="F24" i="5"/>
  <c r="E24" i="5"/>
  <c r="B23" i="5"/>
  <c r="B22" i="5"/>
  <c r="G21" i="5"/>
  <c r="F21" i="5"/>
  <c r="E21" i="5"/>
  <c r="B20" i="5"/>
  <c r="B19" i="5"/>
  <c r="F18" i="5"/>
  <c r="E18" i="5"/>
  <c r="D18" i="5"/>
  <c r="B18" i="5" s="1"/>
  <c r="C18" i="5"/>
  <c r="F15" i="5"/>
  <c r="E15" i="5"/>
  <c r="D15" i="5"/>
  <c r="C15" i="5"/>
  <c r="G12" i="5"/>
  <c r="F12" i="5"/>
  <c r="B10" i="5"/>
  <c r="G9" i="5"/>
  <c r="F9" i="5"/>
  <c r="E9" i="5"/>
  <c r="D9" i="5"/>
  <c r="E6" i="5"/>
  <c r="D6" i="5"/>
  <c r="C6" i="5"/>
  <c r="B9" i="5" l="1"/>
  <c r="B21" i="5"/>
  <c r="B12" i="5"/>
  <c r="G15" i="5"/>
  <c r="G6" i="5"/>
  <c r="B24" i="5"/>
  <c r="B15" i="5"/>
  <c r="B6" i="5"/>
  <c r="B7" i="5"/>
  <c r="C7" i="4"/>
  <c r="E7" i="4"/>
  <c r="F7" i="4"/>
  <c r="F8" i="4"/>
  <c r="B26" i="4" l="1"/>
  <c r="B25" i="4"/>
  <c r="B23" i="4"/>
  <c r="B22" i="4"/>
  <c r="D18" i="4"/>
  <c r="B19" i="4"/>
  <c r="B17" i="4"/>
  <c r="C15" i="4"/>
  <c r="B14" i="4"/>
  <c r="B13" i="4"/>
  <c r="B11" i="4"/>
  <c r="D6" i="4"/>
  <c r="B8" i="4"/>
  <c r="G24" i="4"/>
  <c r="F24" i="4"/>
  <c r="E24" i="4"/>
  <c r="B24" i="4" s="1"/>
  <c r="G21" i="4"/>
  <c r="F21" i="4"/>
  <c r="E21" i="4"/>
  <c r="B21" i="4"/>
  <c r="B20" i="4"/>
  <c r="G18" i="4"/>
  <c r="F18" i="4"/>
  <c r="E18" i="4"/>
  <c r="B16" i="4"/>
  <c r="G15" i="4"/>
  <c r="F15" i="4"/>
  <c r="E15" i="4"/>
  <c r="D15" i="4"/>
  <c r="G12" i="4"/>
  <c r="F12" i="4"/>
  <c r="E12" i="4"/>
  <c r="G9" i="4"/>
  <c r="F9" i="4"/>
  <c r="E9" i="4"/>
  <c r="D9" i="4"/>
  <c r="F6" i="4"/>
  <c r="G6" i="4"/>
  <c r="E6" i="4"/>
  <c r="B12" i="4" l="1"/>
  <c r="C18" i="4"/>
  <c r="B18" i="4" s="1"/>
  <c r="B15" i="4"/>
  <c r="C9" i="4"/>
  <c r="B9" i="4" s="1"/>
  <c r="B10" i="4"/>
  <c r="C6" i="4"/>
  <c r="B6" i="4"/>
  <c r="B7" i="4"/>
  <c r="F8" i="3" l="1"/>
  <c r="F7" i="3"/>
  <c r="E7" i="3"/>
  <c r="C7" i="3"/>
  <c r="G21" i="3" l="1"/>
  <c r="G18" i="3"/>
  <c r="B26" i="3"/>
  <c r="B25" i="3"/>
  <c r="G24" i="3"/>
  <c r="F24" i="3"/>
  <c r="B24" i="3" s="1"/>
  <c r="E24" i="3"/>
  <c r="B23" i="3"/>
  <c r="B22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15" i="3"/>
  <c r="B6" i="3"/>
  <c r="B12" i="3"/>
  <c r="B9" i="3"/>
  <c r="K6" i="2"/>
  <c r="J6" i="2"/>
  <c r="F8" i="2"/>
  <c r="F7" i="2"/>
  <c r="E7" i="2"/>
  <c r="C7" i="2"/>
  <c r="G21" i="2" l="1"/>
  <c r="G12" i="2"/>
  <c r="B26" i="2"/>
  <c r="B25" i="2"/>
  <c r="G24" i="2"/>
  <c r="F24" i="2"/>
  <c r="E24" i="2"/>
  <c r="B23" i="2"/>
  <c r="B22" i="2"/>
  <c r="F21" i="2"/>
  <c r="E21" i="2"/>
  <c r="B21" i="2" s="1"/>
  <c r="B20" i="2"/>
  <c r="B19" i="2"/>
  <c r="G18" i="2"/>
  <c r="F18" i="2"/>
  <c r="E18" i="2"/>
  <c r="B18" i="2" s="1"/>
  <c r="D18" i="2"/>
  <c r="C18" i="2"/>
  <c r="B17" i="2"/>
  <c r="B16" i="2"/>
  <c r="F15" i="2"/>
  <c r="E15" i="2"/>
  <c r="B15" i="2" s="1"/>
  <c r="D15" i="2"/>
  <c r="C15" i="2"/>
  <c r="B14" i="2"/>
  <c r="B13" i="2"/>
  <c r="F12" i="2"/>
  <c r="B12" i="2" s="1"/>
  <c r="E12" i="2"/>
  <c r="B11" i="2"/>
  <c r="B10" i="2"/>
  <c r="F9" i="2"/>
  <c r="E9" i="2"/>
  <c r="D9" i="2"/>
  <c r="C9" i="2"/>
  <c r="B8" i="2"/>
  <c r="E6" i="2"/>
  <c r="B7" i="2"/>
  <c r="F6" i="2"/>
  <c r="D6" i="2"/>
  <c r="C6" i="2"/>
  <c r="G15" i="2" l="1"/>
  <c r="G9" i="2"/>
  <c r="G6" i="2"/>
  <c r="B24" i="2"/>
  <c r="B9" i="2"/>
  <c r="B6" i="2"/>
  <c r="F8" i="1"/>
  <c r="C7" i="1"/>
  <c r="E7" i="1"/>
  <c r="F7" i="1"/>
  <c r="J6" i="1"/>
  <c r="K6" i="1"/>
  <c r="B26" i="1" l="1"/>
  <c r="B25" i="1"/>
  <c r="G24" i="1"/>
  <c r="F24" i="1"/>
  <c r="B24" i="1" s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21" i="1" l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<sst xmlns="http://schemas.openxmlformats.org/spreadsheetml/2006/main" count="432" uniqueCount="30">
  <si>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</si>
  <si>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</si>
  <si>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</si>
  <si>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</si>
  <si>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</si>
  <si>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</si>
  <si>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</si>
  <si>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</si>
  <si>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</si>
  <si>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</si>
  <si>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</si>
  <si>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</si>
  <si>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</si>
  <si>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</si>
  <si>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</si>
  <si>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</si>
  <si>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</si>
  <si>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</si>
  <si>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</si>
  <si>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</si>
  <si>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</si>
  <si>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</si>
  <si>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</si>
  <si>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</si>
  <si>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</si>
  <si>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</si>
  <si>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</si>
  <si>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октябрь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</si>
  <si>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ноябрь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</si>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</sst>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102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0" fontId="5" fillId="2" borderId="30" xfId="1" applyFont="1" applyFill="1" applyBorder="1" applyAlignment="1">
      <alignment horizontal="right"/>
    </xf>
    <xf numFmtId="166" fontId="3" fillId="0" borderId="15" xfId="1" applyNumberFormat="1" applyFont="1" applyFill="1" applyBorder="1" applyAlignment="1">
      <alignment horizontal="right"/>
    </xf>
    <xf numFmtId="166" fontId="3" fillId="0" borderId="16" xfId="1" applyNumberFormat="1" applyFont="1" applyFill="1" applyBorder="1" applyAlignment="1">
      <alignment horizontal="right"/>
    </xf>
    <xf numFmtId="166" fontId="4" fillId="0" borderId="16" xfId="0" applyNumberFormat="1" applyFont="1" applyBorder="1" applyAlignment="1">
      <alignment horizontal="right"/>
    </xf>
    <xf numFmtId="166" fontId="4" fillId="0" borderId="17" xfId="0" applyNumberFormat="1" applyFont="1" applyBorder="1" applyAlignment="1">
      <alignment horizontal="right"/>
    </xf>
    <xf numFmtId="164" fontId="5" fillId="0" borderId="20" xfId="1" applyNumberFormat="1" applyFont="1" applyFill="1" applyBorder="1" applyAlignment="1">
      <alignment horizontal="right"/>
    </xf>
    <xf numFmtId="164" fontId="5" fillId="0" borderId="21" xfId="1" applyNumberFormat="1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164" fontId="5" fillId="0" borderId="23" xfId="1" applyNumberFormat="1" applyFont="1" applyFill="1" applyBorder="1" applyAlignment="1">
      <alignment horizontal="right"/>
    </xf>
    <xf numFmtId="164" fontId="5" fillId="0" borderId="25" xfId="1" applyNumberFormat="1" applyFont="1" applyFill="1" applyBorder="1" applyAlignment="1">
      <alignment horizontal="right"/>
    </xf>
    <xf numFmtId="164" fontId="5" fillId="0" borderId="26" xfId="1" applyNumberFormat="1" applyFont="1" applyFill="1" applyBorder="1" applyAlignment="1">
      <alignment horizontal="right"/>
    </xf>
    <xf numFmtId="164" fontId="5" fillId="0" borderId="27" xfId="1" applyNumberFormat="1" applyFont="1" applyFill="1" applyBorder="1" applyAlignment="1">
      <alignment horizontal="right"/>
    </xf>
    <xf numFmtId="164" fontId="3" fillId="0" borderId="15" xfId="1" applyNumberFormat="1" applyFont="1" applyFill="1" applyBorder="1" applyAlignment="1">
      <alignment horizontal="right"/>
    </xf>
    <xf numFmtId="164" fontId="3" fillId="0" borderId="16" xfId="1" applyNumberFormat="1" applyFont="1" applyFill="1" applyBorder="1" applyAlignment="1">
      <alignment horizontal="right"/>
    </xf>
    <xf numFmtId="167" fontId="3" fillId="0" borderId="34" xfId="1" applyNumberFormat="1" applyFont="1" applyFill="1" applyBorder="1" applyAlignment="1">
      <alignment horizontal="right"/>
    </xf>
    <xf numFmtId="167" fontId="3" fillId="0" borderId="17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165" fontId="0" fillId="0" borderId="0" xfId="0" applyNumberFormat="1"/>
    <xf numFmtId="164" fontId="12" fillId="0" borderId="0" xfId="0" applyNumberFormat="1" applyFont="1"/>
    <xf numFmtId="49" fontId="0" fillId="0" borderId="0" xfId="0" applyNumberFormat="1" applyAlignment="1">
      <alignment horizontal="center"/>
    </xf>
    <xf numFmtId="0" fontId="13" fillId="0" borderId="0" xfId="0" applyFont="1"/>
    <xf numFmtId="1" fontId="3" fillId="0" borderId="15" xfId="1" applyNumberFormat="1" applyFont="1" applyFill="1" applyBorder="1"/>
    <xf numFmtId="1" fontId="3" fillId="0" borderId="16" xfId="1" applyNumberFormat="1" applyFont="1" applyFill="1" applyBorder="1"/>
    <xf numFmtId="3" fontId="2" fillId="0" borderId="16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29"/>
  <sheetViews>
    <sheetView workbookViewId="0">
      <selection activeCell="M11" sqref="M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1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249840199</v>
      </c>
      <c r="C6" s="10">
        <f>C7+C8</f>
        <v>4385704</v>
      </c>
      <c r="D6" s="11">
        <f>D7+D8</f>
        <v>676848</v>
      </c>
      <c r="E6" s="11">
        <f>E7+E8</f>
        <v>105991643</v>
      </c>
      <c r="F6" s="12">
        <f>F7+F8</f>
        <v>138786004</v>
      </c>
      <c r="G6" s="13">
        <f>SUM(H6:K6)</f>
        <v>28.220630000000003</v>
      </c>
      <c r="H6" s="14">
        <v>0.46899999999999997</v>
      </c>
      <c r="I6" s="15"/>
      <c r="J6" s="16">
        <f>22.174237+0.024</f>
        <v>22.198237000000002</v>
      </c>
      <c r="K6" s="70">
        <f>5.513393+0.04</f>
        <v>5.5533929999999998</v>
      </c>
    </row>
    <row r="7" spans="1:11" x14ac:dyDescent="0.25">
      <c r="A7" s="17" t="s">
        <v>10</v>
      </c>
      <c r="B7" s="18">
        <f t="shared" si="0"/>
        <v>131780462</v>
      </c>
      <c r="C7" s="58">
        <f>4334080+51624</f>
        <v>4385704</v>
      </c>
      <c r="D7" s="59">
        <v>676848</v>
      </c>
      <c r="E7" s="59">
        <f>89428038+1391065</f>
        <v>90819103</v>
      </c>
      <c r="F7" s="64">
        <f>35417520+481287</f>
        <v>35898807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118059737</v>
      </c>
      <c r="C8" s="60">
        <v>0</v>
      </c>
      <c r="D8" s="61">
        <v>0</v>
      </c>
      <c r="E8" s="62">
        <v>15172540</v>
      </c>
      <c r="F8" s="65">
        <f>100776548+2110649</f>
        <v>102887197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27978679</v>
      </c>
      <c r="C9" s="32">
        <f>C10+C11</f>
        <v>0</v>
      </c>
      <c r="D9" s="33">
        <f>D10+D11</f>
        <v>0</v>
      </c>
      <c r="E9" s="33">
        <f>E10+E11</f>
        <v>12155119</v>
      </c>
      <c r="F9" s="34">
        <f>F10+F11</f>
        <v>15823560</v>
      </c>
      <c r="G9" s="13">
        <f>SUM(H9:K9)</f>
        <v>4.6711159999999996</v>
      </c>
      <c r="H9" s="10"/>
      <c r="I9" s="11"/>
      <c r="J9" s="66">
        <v>4.3811159999999996</v>
      </c>
      <c r="K9" s="36">
        <v>0.28999999999999998</v>
      </c>
    </row>
    <row r="10" spans="1:11" x14ac:dyDescent="0.25">
      <c r="A10" s="68" t="s">
        <v>10</v>
      </c>
      <c r="B10" s="18">
        <f t="shared" si="0"/>
        <v>13044160</v>
      </c>
      <c r="C10" s="37">
        <v>0</v>
      </c>
      <c r="D10" s="19">
        <v>0</v>
      </c>
      <c r="E10" s="55">
        <v>9845235</v>
      </c>
      <c r="F10" s="56">
        <v>3198925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14934519</v>
      </c>
      <c r="C11" s="26">
        <v>0</v>
      </c>
      <c r="D11" s="27">
        <v>0</v>
      </c>
      <c r="E11" s="55">
        <v>2309884</v>
      </c>
      <c r="F11" s="56">
        <v>12624635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171364</v>
      </c>
      <c r="C12" s="10"/>
      <c r="D12" s="11"/>
      <c r="E12" s="33">
        <f>E13+E14</f>
        <v>147880</v>
      </c>
      <c r="F12" s="34">
        <f>F13+F14</f>
        <v>23484</v>
      </c>
      <c r="G12" s="13">
        <f>SUM(H12:K12)</f>
        <v>0.22900000000000001</v>
      </c>
      <c r="H12" s="10"/>
      <c r="I12" s="11"/>
      <c r="J12" s="35">
        <v>0.22900000000000001</v>
      </c>
      <c r="K12" s="36"/>
    </row>
    <row r="13" spans="1:11" x14ac:dyDescent="0.25">
      <c r="A13" s="68" t="s">
        <v>10</v>
      </c>
      <c r="B13" s="18">
        <f t="shared" si="0"/>
        <v>147880</v>
      </c>
      <c r="C13" s="37">
        <v>0</v>
      </c>
      <c r="D13" s="42">
        <v>0</v>
      </c>
      <c r="E13" s="43">
        <v>147880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23484</v>
      </c>
      <c r="C14" s="26">
        <v>0</v>
      </c>
      <c r="D14" s="45">
        <v>0</v>
      </c>
      <c r="E14" s="45">
        <v>0</v>
      </c>
      <c r="F14" s="57">
        <v>23484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96214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65393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96214</v>
      </c>
      <c r="C16" s="48">
        <v>0</v>
      </c>
      <c r="D16" s="19">
        <v>0</v>
      </c>
      <c r="E16" s="55">
        <v>30821</v>
      </c>
      <c r="F16" s="56">
        <v>65393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412751</v>
      </c>
      <c r="C18" s="32">
        <f>C19+C20</f>
        <v>0</v>
      </c>
      <c r="D18" s="33">
        <f>D19+D20</f>
        <v>0</v>
      </c>
      <c r="E18" s="33">
        <f>E19+E20</f>
        <v>56869</v>
      </c>
      <c r="F18" s="34">
        <f>F19+F20</f>
        <v>355882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262223</v>
      </c>
      <c r="C19" s="48">
        <v>0</v>
      </c>
      <c r="D19" s="38">
        <v>0</v>
      </c>
      <c r="E19" s="55">
        <v>56869</v>
      </c>
      <c r="F19" s="56">
        <v>205354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150528</v>
      </c>
      <c r="C20" s="50">
        <v>0</v>
      </c>
      <c r="D20" s="27">
        <v>0</v>
      </c>
      <c r="E20" s="55">
        <v>0</v>
      </c>
      <c r="F20" s="57">
        <v>150528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429227</v>
      </c>
      <c r="C21" s="51"/>
      <c r="D21" s="33"/>
      <c r="E21" s="33">
        <f>E22+E23</f>
        <v>429227</v>
      </c>
      <c r="F21" s="34">
        <f>F22+F23</f>
        <v>0</v>
      </c>
      <c r="G21" s="13">
        <f>SUM(H21:K21)</f>
        <v>0.02</v>
      </c>
      <c r="H21" s="10"/>
      <c r="I21" s="11"/>
      <c r="J21" s="35">
        <v>0.02</v>
      </c>
      <c r="K21" s="36"/>
    </row>
    <row r="22" spans="1:11" x14ac:dyDescent="0.25">
      <c r="A22" s="68" t="s">
        <v>10</v>
      </c>
      <c r="B22" s="18">
        <f t="shared" si="0"/>
        <v>429227</v>
      </c>
      <c r="C22" s="37">
        <v>0</v>
      </c>
      <c r="D22" s="19">
        <v>0</v>
      </c>
      <c r="E22" s="55">
        <v>429227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489668</v>
      </c>
      <c r="C24" s="52"/>
      <c r="D24" s="35"/>
      <c r="E24" s="33">
        <f>E25+E26</f>
        <v>489668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489668</v>
      </c>
      <c r="C25" s="37">
        <v>0</v>
      </c>
      <c r="D25" s="19">
        <v>0</v>
      </c>
      <c r="E25" s="55">
        <v>489668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F19" sqref="F1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95" t="s">
        <v>27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3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194833029</v>
      </c>
      <c r="C6" s="10">
        <f>C7+C8</f>
        <v>2946122</v>
      </c>
      <c r="D6" s="11">
        <f>D7+D8</f>
        <v>600245</v>
      </c>
      <c r="E6" s="11">
        <f>E7+E8</f>
        <v>83595831</v>
      </c>
      <c r="F6" s="12">
        <f>F7+F8</f>
        <v>107690831</v>
      </c>
      <c r="G6" s="13">
        <f>SUM(H6:K6)</f>
        <v>25.215298000000001</v>
      </c>
      <c r="H6" s="72">
        <v>0.39300000000000002</v>
      </c>
      <c r="I6" s="73"/>
      <c r="J6" s="74">
        <v>20.875516000000001</v>
      </c>
      <c r="K6" s="75">
        <v>3.9467819999999998</v>
      </c>
      <c r="M6" s="63"/>
    </row>
    <row r="7" spans="1:13" x14ac:dyDescent="0.25">
      <c r="A7" s="68" t="s">
        <v>10</v>
      </c>
      <c r="B7" s="18">
        <f t="shared" si="0"/>
        <v>104518844</v>
      </c>
      <c r="C7" s="58">
        <f>2904807+41315</f>
        <v>2946122</v>
      </c>
      <c r="D7" s="59">
        <v>600245</v>
      </c>
      <c r="E7" s="59">
        <f>73224315+694079</f>
        <v>73918394</v>
      </c>
      <c r="F7" s="64">
        <f>26606902+447181</f>
        <v>27054083</v>
      </c>
      <c r="G7" s="20"/>
      <c r="H7" s="76"/>
      <c r="I7" s="77"/>
      <c r="J7" s="78"/>
      <c r="K7" s="79"/>
    </row>
    <row r="8" spans="1:13" ht="15.75" thickBot="1" x14ac:dyDescent="0.3">
      <c r="A8" s="68" t="s">
        <v>11</v>
      </c>
      <c r="B8" s="25">
        <f t="shared" si="0"/>
        <v>90314185</v>
      </c>
      <c r="C8" s="60">
        <v>0</v>
      </c>
      <c r="D8" s="61">
        <v>0</v>
      </c>
      <c r="E8" s="62">
        <v>9677437</v>
      </c>
      <c r="F8" s="65">
        <f>78558413+2078335</f>
        <v>80636748</v>
      </c>
      <c r="G8" s="20"/>
      <c r="H8" s="80"/>
      <c r="I8" s="81"/>
      <c r="J8" s="81"/>
      <c r="K8" s="82"/>
    </row>
    <row r="9" spans="1:13" x14ac:dyDescent="0.25">
      <c r="A9" s="69" t="s">
        <v>12</v>
      </c>
      <c r="B9" s="31">
        <f t="shared" si="0"/>
        <v>20652564</v>
      </c>
      <c r="C9" s="32">
        <f>C10+C11</f>
        <v>0</v>
      </c>
      <c r="D9" s="33">
        <f>D10+D11</f>
        <v>0</v>
      </c>
      <c r="E9" s="33">
        <f>E10+E11</f>
        <v>10022920</v>
      </c>
      <c r="F9" s="34">
        <f>F10+F11</f>
        <v>10629644</v>
      </c>
      <c r="G9" s="13">
        <f>SUM(H9:K9)</f>
        <v>4.1665200000000002</v>
      </c>
      <c r="H9" s="83"/>
      <c r="I9" s="84"/>
      <c r="J9" s="85">
        <v>4.0145200000000001</v>
      </c>
      <c r="K9" s="86">
        <v>0.152</v>
      </c>
      <c r="M9" s="63"/>
    </row>
    <row r="10" spans="1:13" x14ac:dyDescent="0.25">
      <c r="A10" s="68" t="s">
        <v>10</v>
      </c>
      <c r="B10" s="18">
        <f t="shared" si="0"/>
        <v>10662194.33</v>
      </c>
      <c r="C10" s="37">
        <v>0</v>
      </c>
      <c r="D10" s="19">
        <v>0</v>
      </c>
      <c r="E10" s="55">
        <v>8777100</v>
      </c>
      <c r="F10" s="56">
        <v>1885094.33</v>
      </c>
      <c r="G10" s="40"/>
      <c r="H10" s="76"/>
      <c r="I10" s="77"/>
      <c r="J10" s="77"/>
      <c r="K10" s="79"/>
    </row>
    <row r="11" spans="1:13" ht="15.75" thickBot="1" x14ac:dyDescent="0.3">
      <c r="A11" s="68" t="s">
        <v>11</v>
      </c>
      <c r="B11" s="25">
        <f t="shared" si="0"/>
        <v>9990369.6699999999</v>
      </c>
      <c r="C11" s="26">
        <v>0</v>
      </c>
      <c r="D11" s="27">
        <v>0</v>
      </c>
      <c r="E11" s="55">
        <v>1245820</v>
      </c>
      <c r="F11" s="56">
        <v>8744549.6699999999</v>
      </c>
      <c r="G11" s="41"/>
      <c r="H11" s="80"/>
      <c r="I11" s="81"/>
      <c r="J11" s="81"/>
      <c r="K11" s="82"/>
    </row>
    <row r="12" spans="1:13" x14ac:dyDescent="0.25">
      <c r="A12" s="69" t="s">
        <v>13</v>
      </c>
      <c r="B12" s="9">
        <f t="shared" si="0"/>
        <v>109086</v>
      </c>
      <c r="C12" s="10"/>
      <c r="D12" s="11"/>
      <c r="E12" s="33">
        <f>E13+E14</f>
        <v>92803</v>
      </c>
      <c r="F12" s="34">
        <f>F13+F14</f>
        <v>16283</v>
      </c>
      <c r="G12" s="13">
        <f>SUM(H12:K12)</f>
        <v>0.151</v>
      </c>
      <c r="H12" s="83"/>
      <c r="I12" s="84"/>
      <c r="J12" s="87">
        <v>0.151</v>
      </c>
      <c r="K12" s="86"/>
      <c r="M12" s="63"/>
    </row>
    <row r="13" spans="1:13" x14ac:dyDescent="0.25">
      <c r="A13" s="68" t="s">
        <v>10</v>
      </c>
      <c r="B13" s="18">
        <f t="shared" si="0"/>
        <v>92803</v>
      </c>
      <c r="C13" s="37">
        <v>0</v>
      </c>
      <c r="D13" s="42">
        <v>0</v>
      </c>
      <c r="E13" s="38">
        <v>92803</v>
      </c>
      <c r="F13" s="44">
        <v>0</v>
      </c>
      <c r="G13" s="40"/>
      <c r="H13" s="76"/>
      <c r="I13" s="77"/>
      <c r="J13" s="77"/>
      <c r="K13" s="79"/>
    </row>
    <row r="14" spans="1:13" ht="15.75" thickBot="1" x14ac:dyDescent="0.3">
      <c r="A14" s="68" t="s">
        <v>11</v>
      </c>
      <c r="B14" s="25">
        <f t="shared" si="0"/>
        <v>16283</v>
      </c>
      <c r="C14" s="26">
        <v>0</v>
      </c>
      <c r="D14" s="45">
        <v>0</v>
      </c>
      <c r="E14" s="45">
        <v>0</v>
      </c>
      <c r="F14" s="57">
        <v>16283</v>
      </c>
      <c r="G14" s="41"/>
      <c r="H14" s="80"/>
      <c r="I14" s="81"/>
      <c r="J14" s="81"/>
      <c r="K14" s="82"/>
    </row>
    <row r="15" spans="1:13" x14ac:dyDescent="0.25">
      <c r="A15" s="69" t="s">
        <v>14</v>
      </c>
      <c r="B15" s="31">
        <f t="shared" si="0"/>
        <v>98707</v>
      </c>
      <c r="C15" s="32">
        <f>C16+C17</f>
        <v>0</v>
      </c>
      <c r="D15" s="33">
        <f>D16+D17</f>
        <v>0</v>
      </c>
      <c r="E15" s="33">
        <f>E16+E17</f>
        <v>73611</v>
      </c>
      <c r="F15" s="34">
        <f>F16+F17</f>
        <v>25096</v>
      </c>
      <c r="G15" s="13">
        <f>SUM(H15:K15)</f>
        <v>0.14899999999999999</v>
      </c>
      <c r="H15" s="83"/>
      <c r="I15" s="84"/>
      <c r="J15" s="87">
        <v>0.112</v>
      </c>
      <c r="K15" s="86">
        <v>3.6999999999999998E-2</v>
      </c>
      <c r="M15" s="63"/>
    </row>
    <row r="16" spans="1:13" x14ac:dyDescent="0.25">
      <c r="A16" s="68" t="s">
        <v>10</v>
      </c>
      <c r="B16" s="47">
        <f t="shared" si="0"/>
        <v>98707</v>
      </c>
      <c r="C16" s="48">
        <v>0</v>
      </c>
      <c r="D16" s="19">
        <v>0</v>
      </c>
      <c r="E16" s="55">
        <v>73611</v>
      </c>
      <c r="F16" s="56">
        <v>25096</v>
      </c>
      <c r="G16" s="40"/>
      <c r="H16" s="76"/>
      <c r="I16" s="77"/>
      <c r="J16" s="77"/>
      <c r="K16" s="79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80"/>
      <c r="I17" s="81"/>
      <c r="J17" s="81"/>
      <c r="K17" s="82"/>
    </row>
    <row r="18" spans="1:13" x14ac:dyDescent="0.25">
      <c r="A18" s="69" t="s">
        <v>15</v>
      </c>
      <c r="B18" s="31">
        <f t="shared" si="0"/>
        <v>265589</v>
      </c>
      <c r="C18" s="32">
        <f>C19+C20</f>
        <v>0</v>
      </c>
      <c r="D18" s="33">
        <f>D19+D20</f>
        <v>0</v>
      </c>
      <c r="E18" s="33">
        <f>E19+E20</f>
        <v>31571</v>
      </c>
      <c r="F18" s="34">
        <f>F19+F20</f>
        <v>234018</v>
      </c>
      <c r="G18" s="13">
        <f>SUM(H18:K18)</f>
        <v>6.0000000000000001E-3</v>
      </c>
      <c r="H18" s="83"/>
      <c r="I18" s="84"/>
      <c r="J18" s="87"/>
      <c r="K18" s="86">
        <v>6.0000000000000001E-3</v>
      </c>
      <c r="M18" s="63"/>
    </row>
    <row r="19" spans="1:13" x14ac:dyDescent="0.25">
      <c r="A19" s="68" t="s">
        <v>10</v>
      </c>
      <c r="B19" s="47">
        <f t="shared" si="0"/>
        <v>162319</v>
      </c>
      <c r="C19" s="48">
        <v>0</v>
      </c>
      <c r="D19" s="38">
        <v>0</v>
      </c>
      <c r="E19" s="55">
        <v>31571</v>
      </c>
      <c r="F19" s="56">
        <v>130748</v>
      </c>
      <c r="G19" s="40"/>
      <c r="H19" s="76"/>
      <c r="I19" s="77"/>
      <c r="J19" s="77"/>
      <c r="K19" s="79"/>
    </row>
    <row r="20" spans="1:13" ht="15.75" thickBot="1" x14ac:dyDescent="0.3">
      <c r="A20" s="68" t="s">
        <v>11</v>
      </c>
      <c r="B20" s="49">
        <f t="shared" si="0"/>
        <v>103270</v>
      </c>
      <c r="C20" s="50">
        <v>0</v>
      </c>
      <c r="D20" s="27">
        <v>0</v>
      </c>
      <c r="E20" s="55">
        <v>0</v>
      </c>
      <c r="F20" s="57">
        <v>103270</v>
      </c>
      <c r="G20" s="41"/>
      <c r="H20" s="80"/>
      <c r="I20" s="81"/>
      <c r="J20" s="81"/>
      <c r="K20" s="82"/>
    </row>
    <row r="21" spans="1:13" x14ac:dyDescent="0.25">
      <c r="A21" s="69" t="s">
        <v>16</v>
      </c>
      <c r="B21" s="9">
        <f t="shared" si="0"/>
        <v>350398</v>
      </c>
      <c r="C21" s="51"/>
      <c r="D21" s="33"/>
      <c r="E21" s="33">
        <f>E22+E23</f>
        <v>350398</v>
      </c>
      <c r="F21" s="34">
        <f>F22+F23</f>
        <v>0</v>
      </c>
      <c r="G21" s="13">
        <f>SUM(H21:K21)</f>
        <v>1.4999999999999999E-2</v>
      </c>
      <c r="H21" s="83"/>
      <c r="I21" s="84"/>
      <c r="J21" s="87">
        <v>1.4999999999999999E-2</v>
      </c>
      <c r="K21" s="86"/>
      <c r="M21" s="63"/>
    </row>
    <row r="22" spans="1:13" x14ac:dyDescent="0.25">
      <c r="A22" s="68" t="s">
        <v>10</v>
      </c>
      <c r="B22" s="18">
        <f t="shared" si="0"/>
        <v>350398</v>
      </c>
      <c r="C22" s="37">
        <v>0</v>
      </c>
      <c r="D22" s="19">
        <v>0</v>
      </c>
      <c r="E22" s="55">
        <v>350398</v>
      </c>
      <c r="F22" s="39">
        <v>0</v>
      </c>
      <c r="G22" s="40"/>
      <c r="H22" s="76"/>
      <c r="I22" s="77"/>
      <c r="J22" s="77"/>
      <c r="K22" s="79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80"/>
      <c r="I23" s="81"/>
      <c r="J23" s="81"/>
      <c r="K23" s="82"/>
    </row>
    <row r="24" spans="1:13" x14ac:dyDescent="0.25">
      <c r="A24" s="67" t="s">
        <v>17</v>
      </c>
      <c r="B24" s="9">
        <f t="shared" si="0"/>
        <v>458816</v>
      </c>
      <c r="C24" s="52"/>
      <c r="D24" s="35"/>
      <c r="E24" s="33">
        <f>E25+E26</f>
        <v>458816</v>
      </c>
      <c r="F24" s="34">
        <f>F25+F26</f>
        <v>0</v>
      </c>
      <c r="G24" s="13">
        <f>SUM(H24:K24)</f>
        <v>0</v>
      </c>
      <c r="H24" s="83"/>
      <c r="I24" s="84"/>
      <c r="J24" s="87"/>
      <c r="K24" s="86"/>
      <c r="M24" s="63"/>
    </row>
    <row r="25" spans="1:13" x14ac:dyDescent="0.25">
      <c r="A25" s="71" t="s">
        <v>10</v>
      </c>
      <c r="B25" s="18">
        <f t="shared" si="0"/>
        <v>458816</v>
      </c>
      <c r="C25" s="37">
        <v>0</v>
      </c>
      <c r="D25" s="19">
        <v>0</v>
      </c>
      <c r="E25" s="55">
        <v>458816</v>
      </c>
      <c r="F25" s="39">
        <v>0</v>
      </c>
      <c r="G25" s="40"/>
      <c r="H25" s="76"/>
      <c r="I25" s="77"/>
      <c r="J25" s="77"/>
      <c r="K25" s="79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  <c r="G28" s="88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B30" sqref="B30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3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218991717</v>
      </c>
      <c r="C6" s="10">
        <f>C7+C8</f>
        <v>3070367</v>
      </c>
      <c r="D6" s="11">
        <f>D7+D8</f>
        <v>446495</v>
      </c>
      <c r="E6" s="11">
        <f>E7+E8</f>
        <v>97902427</v>
      </c>
      <c r="F6" s="12">
        <f>F7+F8</f>
        <v>117572428</v>
      </c>
      <c r="G6" s="13">
        <f>SUM(H6:K6)</f>
        <v>26.719684999999998</v>
      </c>
      <c r="H6" s="72">
        <v>0.42599999999999999</v>
      </c>
      <c r="I6" s="73"/>
      <c r="J6" s="74">
        <v>22.051911999999998</v>
      </c>
      <c r="K6" s="75">
        <v>4.2417730000000002</v>
      </c>
      <c r="M6" s="63"/>
    </row>
    <row r="7" spans="1:13" x14ac:dyDescent="0.25">
      <c r="A7" s="68" t="s">
        <v>10</v>
      </c>
      <c r="B7" s="18">
        <f t="shared" si="0"/>
        <v>118387510</v>
      </c>
      <c r="C7" s="58">
        <v>3070367</v>
      </c>
      <c r="D7" s="59">
        <v>446495</v>
      </c>
      <c r="E7" s="59">
        <v>86477274</v>
      </c>
      <c r="F7" s="64">
        <v>28393374</v>
      </c>
      <c r="G7" s="20"/>
      <c r="H7" s="76"/>
      <c r="I7" s="77"/>
      <c r="J7" s="78"/>
      <c r="K7" s="79"/>
    </row>
    <row r="8" spans="1:13" ht="15.75" thickBot="1" x14ac:dyDescent="0.3">
      <c r="A8" s="68" t="s">
        <v>11</v>
      </c>
      <c r="B8" s="25">
        <f t="shared" si="0"/>
        <v>100604207</v>
      </c>
      <c r="C8" s="60">
        <v>0</v>
      </c>
      <c r="D8" s="61">
        <v>0</v>
      </c>
      <c r="E8" s="62">
        <v>11425153</v>
      </c>
      <c r="F8" s="65">
        <v>89179054</v>
      </c>
      <c r="G8" s="20"/>
      <c r="H8" s="80"/>
      <c r="I8" s="81"/>
      <c r="J8" s="81"/>
      <c r="K8" s="82"/>
    </row>
    <row r="9" spans="1:13" x14ac:dyDescent="0.25">
      <c r="A9" s="69" t="s">
        <v>12</v>
      </c>
      <c r="B9" s="31">
        <f t="shared" si="0"/>
        <v>23864959</v>
      </c>
      <c r="C9" s="32">
        <f>C10+C11</f>
        <v>0</v>
      </c>
      <c r="D9" s="33">
        <f>D10+D11</f>
        <v>0</v>
      </c>
      <c r="E9" s="33">
        <f>E10+E11</f>
        <v>11502002</v>
      </c>
      <c r="F9" s="34">
        <f>F10+F11</f>
        <v>12362957</v>
      </c>
      <c r="G9" s="13">
        <f>SUM(H9:K9)</f>
        <v>4.2153710000000002</v>
      </c>
      <c r="H9" s="83"/>
      <c r="I9" s="84"/>
      <c r="J9" s="85">
        <v>4.0343710000000002</v>
      </c>
      <c r="K9" s="86">
        <v>0.18099999999999999</v>
      </c>
      <c r="M9" s="63"/>
    </row>
    <row r="10" spans="1:13" x14ac:dyDescent="0.25">
      <c r="A10" s="68" t="s">
        <v>10</v>
      </c>
      <c r="B10" s="18">
        <f t="shared" si="0"/>
        <v>12157099</v>
      </c>
      <c r="C10" s="37">
        <v>0</v>
      </c>
      <c r="D10" s="19">
        <v>0</v>
      </c>
      <c r="E10" s="55">
        <v>10002194</v>
      </c>
      <c r="F10" s="56">
        <v>2154905</v>
      </c>
      <c r="G10" s="40"/>
      <c r="H10" s="76"/>
      <c r="I10" s="77"/>
      <c r="J10" s="77"/>
      <c r="K10" s="79"/>
    </row>
    <row r="11" spans="1:13" ht="15.75" thickBot="1" x14ac:dyDescent="0.3">
      <c r="A11" s="68" t="s">
        <v>11</v>
      </c>
      <c r="B11" s="25">
        <f t="shared" si="0"/>
        <v>11707860</v>
      </c>
      <c r="C11" s="26">
        <v>0</v>
      </c>
      <c r="D11" s="27">
        <v>0</v>
      </c>
      <c r="E11" s="55">
        <v>1499808</v>
      </c>
      <c r="F11" s="56">
        <v>10208052</v>
      </c>
      <c r="G11" s="41"/>
      <c r="H11" s="80"/>
      <c r="I11" s="81"/>
      <c r="J11" s="81"/>
      <c r="K11" s="82"/>
    </row>
    <row r="12" spans="1:13" x14ac:dyDescent="0.25">
      <c r="A12" s="69" t="s">
        <v>13</v>
      </c>
      <c r="B12" s="9">
        <f t="shared" si="0"/>
        <v>137530</v>
      </c>
      <c r="C12" s="10"/>
      <c r="D12" s="11"/>
      <c r="E12" s="33">
        <f>E13+E14</f>
        <v>119157</v>
      </c>
      <c r="F12" s="34">
        <f>F13+F14</f>
        <v>18373</v>
      </c>
      <c r="G12" s="13">
        <f>SUM(H12:K12)</f>
        <v>0.14000000000000001</v>
      </c>
      <c r="H12" s="83"/>
      <c r="I12" s="84"/>
      <c r="J12" s="87">
        <v>0.14000000000000001</v>
      </c>
      <c r="K12" s="86"/>
      <c r="M12" s="63"/>
    </row>
    <row r="13" spans="1:13" x14ac:dyDescent="0.25">
      <c r="A13" s="68" t="s">
        <v>10</v>
      </c>
      <c r="B13" s="18">
        <f t="shared" si="0"/>
        <v>119157</v>
      </c>
      <c r="C13" s="37">
        <v>0</v>
      </c>
      <c r="D13" s="42">
        <v>0</v>
      </c>
      <c r="E13" s="38">
        <v>119157</v>
      </c>
      <c r="F13" s="44">
        <v>0</v>
      </c>
      <c r="G13" s="40"/>
      <c r="H13" s="76"/>
      <c r="I13" s="77"/>
      <c r="J13" s="77"/>
      <c r="K13" s="79"/>
    </row>
    <row r="14" spans="1:13" ht="15.75" thickBot="1" x14ac:dyDescent="0.3">
      <c r="A14" s="68" t="s">
        <v>11</v>
      </c>
      <c r="B14" s="25">
        <f t="shared" si="0"/>
        <v>18373</v>
      </c>
      <c r="C14" s="26">
        <v>0</v>
      </c>
      <c r="D14" s="45">
        <v>0</v>
      </c>
      <c r="E14" s="45">
        <v>0</v>
      </c>
      <c r="F14" s="57">
        <v>18373</v>
      </c>
      <c r="G14" s="41"/>
      <c r="H14" s="80"/>
      <c r="I14" s="81"/>
      <c r="J14" s="81"/>
      <c r="K14" s="82"/>
    </row>
    <row r="15" spans="1:13" x14ac:dyDescent="0.25">
      <c r="A15" s="69" t="s">
        <v>14</v>
      </c>
      <c r="B15" s="31">
        <f t="shared" si="0"/>
        <v>114980</v>
      </c>
      <c r="C15" s="32">
        <f>C16+C17</f>
        <v>0</v>
      </c>
      <c r="D15" s="33">
        <f>D16+D17</f>
        <v>0</v>
      </c>
      <c r="E15" s="33">
        <f>E16+E17</f>
        <v>86491</v>
      </c>
      <c r="F15" s="34">
        <f>F16+F17</f>
        <v>28489</v>
      </c>
      <c r="G15" s="13">
        <f>SUM(H15:K15)</f>
        <v>0.17799999999999999</v>
      </c>
      <c r="H15" s="83"/>
      <c r="I15" s="84"/>
      <c r="J15" s="87">
        <v>0.13400000000000001</v>
      </c>
      <c r="K15" s="86">
        <v>4.3999999999999997E-2</v>
      </c>
      <c r="M15" s="63"/>
    </row>
    <row r="16" spans="1:13" x14ac:dyDescent="0.25">
      <c r="A16" s="68" t="s">
        <v>10</v>
      </c>
      <c r="B16" s="47">
        <f t="shared" si="0"/>
        <v>114980</v>
      </c>
      <c r="C16" s="48">
        <v>0</v>
      </c>
      <c r="D16" s="19">
        <v>0</v>
      </c>
      <c r="E16" s="55">
        <v>86491</v>
      </c>
      <c r="F16" s="56">
        <v>28489</v>
      </c>
      <c r="G16" s="40"/>
      <c r="H16" s="76"/>
      <c r="I16" s="77"/>
      <c r="J16" s="77"/>
      <c r="K16" s="79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80"/>
      <c r="I17" s="81"/>
      <c r="J17" s="81"/>
      <c r="K17" s="82"/>
    </row>
    <row r="18" spans="1:13" x14ac:dyDescent="0.25">
      <c r="A18" s="69" t="s">
        <v>15</v>
      </c>
      <c r="B18" s="31">
        <f t="shared" si="0"/>
        <v>305103</v>
      </c>
      <c r="C18" s="32">
        <f>C19+C20</f>
        <v>0</v>
      </c>
      <c r="D18" s="33">
        <f>D19+D20</f>
        <v>0</v>
      </c>
      <c r="E18" s="33">
        <f>E19+E20</f>
        <v>41347</v>
      </c>
      <c r="F18" s="34">
        <f>F19+F20</f>
        <v>263756</v>
      </c>
      <c r="G18" s="13">
        <f>SUM(H18:K18)</f>
        <v>6.0000000000000001E-3</v>
      </c>
      <c r="H18" s="83"/>
      <c r="I18" s="84"/>
      <c r="J18" s="87"/>
      <c r="K18" s="86">
        <v>6.0000000000000001E-3</v>
      </c>
      <c r="M18" s="63"/>
    </row>
    <row r="19" spans="1:13" x14ac:dyDescent="0.25">
      <c r="A19" s="68" t="s">
        <v>10</v>
      </c>
      <c r="B19" s="47">
        <f t="shared" si="0"/>
        <v>203845</v>
      </c>
      <c r="C19" s="48">
        <v>0</v>
      </c>
      <c r="D19" s="38">
        <v>0</v>
      </c>
      <c r="E19" s="55">
        <v>41347</v>
      </c>
      <c r="F19" s="56">
        <v>162498</v>
      </c>
      <c r="G19" s="40"/>
      <c r="H19" s="76"/>
      <c r="I19" s="77"/>
      <c r="J19" s="77"/>
      <c r="K19" s="79"/>
    </row>
    <row r="20" spans="1:13" ht="15.75" thickBot="1" x14ac:dyDescent="0.3">
      <c r="A20" s="68" t="s">
        <v>11</v>
      </c>
      <c r="B20" s="49">
        <f t="shared" si="0"/>
        <v>101258</v>
      </c>
      <c r="C20" s="50">
        <v>0</v>
      </c>
      <c r="D20" s="27">
        <v>0</v>
      </c>
      <c r="E20" s="55">
        <v>0</v>
      </c>
      <c r="F20" s="57">
        <v>101258</v>
      </c>
      <c r="G20" s="41"/>
      <c r="H20" s="80"/>
      <c r="I20" s="81"/>
      <c r="J20" s="81"/>
      <c r="K20" s="82"/>
    </row>
    <row r="21" spans="1:13" x14ac:dyDescent="0.25">
      <c r="A21" s="69" t="s">
        <v>16</v>
      </c>
      <c r="B21" s="9">
        <f t="shared" si="0"/>
        <v>426562</v>
      </c>
      <c r="C21" s="51"/>
      <c r="D21" s="33"/>
      <c r="E21" s="33">
        <f>E22+E23</f>
        <v>426562</v>
      </c>
      <c r="F21" s="34">
        <f>F22+F23</f>
        <v>0</v>
      </c>
      <c r="G21" s="13">
        <f>SUM(H21:K21)</f>
        <v>1.9E-2</v>
      </c>
      <c r="H21" s="83"/>
      <c r="I21" s="84"/>
      <c r="J21" s="87">
        <v>1.9E-2</v>
      </c>
      <c r="K21" s="86"/>
      <c r="M21" s="63"/>
    </row>
    <row r="22" spans="1:13" x14ac:dyDescent="0.25">
      <c r="A22" s="68" t="s">
        <v>10</v>
      </c>
      <c r="B22" s="18">
        <f t="shared" si="0"/>
        <v>426562</v>
      </c>
      <c r="C22" s="37">
        <v>0</v>
      </c>
      <c r="D22" s="19">
        <v>0</v>
      </c>
      <c r="E22" s="55">
        <v>426562</v>
      </c>
      <c r="F22" s="39">
        <v>0</v>
      </c>
      <c r="G22" s="40"/>
      <c r="H22" s="76"/>
      <c r="I22" s="77"/>
      <c r="J22" s="77"/>
      <c r="K22" s="79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80"/>
      <c r="I23" s="81"/>
      <c r="J23" s="81"/>
      <c r="K23" s="82"/>
    </row>
    <row r="24" spans="1:13" x14ac:dyDescent="0.25">
      <c r="A24" s="67" t="s">
        <v>17</v>
      </c>
      <c r="B24" s="9">
        <f t="shared" si="0"/>
        <v>474975</v>
      </c>
      <c r="C24" s="52"/>
      <c r="D24" s="35"/>
      <c r="E24" s="33">
        <f>E25+E26</f>
        <v>474975</v>
      </c>
      <c r="F24" s="34">
        <f>F25+F26</f>
        <v>0</v>
      </c>
      <c r="G24" s="13">
        <f>SUM(H24:K24)</f>
        <v>0</v>
      </c>
      <c r="H24" s="83"/>
      <c r="I24" s="84"/>
      <c r="J24" s="87"/>
      <c r="K24" s="86"/>
      <c r="M24" s="63"/>
    </row>
    <row r="25" spans="1:13" x14ac:dyDescent="0.25">
      <c r="A25" s="71" t="s">
        <v>10</v>
      </c>
      <c r="B25" s="18">
        <f t="shared" si="0"/>
        <v>474975</v>
      </c>
      <c r="C25" s="37">
        <v>0</v>
      </c>
      <c r="D25" s="19">
        <v>0</v>
      </c>
      <c r="E25" s="55">
        <v>474975</v>
      </c>
      <c r="F25" s="39">
        <v>0</v>
      </c>
      <c r="G25" s="40"/>
      <c r="H25" s="76"/>
      <c r="I25" s="77"/>
      <c r="J25" s="77"/>
      <c r="K25" s="79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  <c r="G28" s="88"/>
    </row>
    <row r="29" spans="1:13" x14ac:dyDescent="0.25">
      <c r="B29" s="63"/>
      <c r="C29" s="63"/>
    </row>
    <row r="30" spans="1:13" x14ac:dyDescent="0.25">
      <c r="B30" s="63"/>
      <c r="C30" s="89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A29" sqref="A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  <col min="15" max="15" width="14" customWidth="1"/>
    <col min="16" max="16" width="20.140625" customWidth="1"/>
  </cols>
  <sheetData>
    <row r="1" spans="1:16" ht="15" customHeight="1" x14ac:dyDescent="0.25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6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6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6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6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  <c r="P5" s="90"/>
    </row>
    <row r="6" spans="1:16" x14ac:dyDescent="0.25">
      <c r="A6" s="69" t="s">
        <v>9</v>
      </c>
      <c r="B6" s="9">
        <f t="shared" ref="B6:B26" si="0">C6+D6+E6+F6</f>
        <v>234075215</v>
      </c>
      <c r="C6" s="10">
        <f>C7+C8</f>
        <v>3347645</v>
      </c>
      <c r="D6" s="11">
        <f>D7+D8</f>
        <v>808008</v>
      </c>
      <c r="E6" s="11">
        <f>E7+E8</f>
        <v>103413295</v>
      </c>
      <c r="F6" s="12">
        <f>F7+F8</f>
        <v>126506267</v>
      </c>
      <c r="G6" s="13">
        <f>SUM(H6:K6)</f>
        <v>29.744741999999999</v>
      </c>
      <c r="H6" s="72">
        <v>0.433</v>
      </c>
      <c r="I6" s="73"/>
      <c r="J6" s="74">
        <v>24.338881999999998</v>
      </c>
      <c r="K6" s="75">
        <v>4.9728599999999998</v>
      </c>
      <c r="M6" s="63"/>
      <c r="P6" s="91"/>
    </row>
    <row r="7" spans="1:16" x14ac:dyDescent="0.25">
      <c r="A7" s="68" t="s">
        <v>10</v>
      </c>
      <c r="B7" s="18">
        <f t="shared" si="0"/>
        <v>126301433</v>
      </c>
      <c r="C7" s="58">
        <v>3347645</v>
      </c>
      <c r="D7" s="59">
        <v>808008</v>
      </c>
      <c r="E7" s="59">
        <v>90983195</v>
      </c>
      <c r="F7" s="64">
        <v>31162585</v>
      </c>
      <c r="G7" s="20"/>
      <c r="H7" s="76"/>
      <c r="I7" s="77"/>
      <c r="J7" s="78"/>
      <c r="K7" s="79"/>
    </row>
    <row r="8" spans="1:16" ht="15.75" thickBot="1" x14ac:dyDescent="0.3">
      <c r="A8" s="68" t="s">
        <v>11</v>
      </c>
      <c r="B8" s="25">
        <f t="shared" si="0"/>
        <v>107773782</v>
      </c>
      <c r="C8" s="58">
        <v>0</v>
      </c>
      <c r="D8" s="59">
        <v>0</v>
      </c>
      <c r="E8" s="59">
        <v>12430100</v>
      </c>
      <c r="F8" s="64">
        <v>95343682</v>
      </c>
      <c r="G8" s="20"/>
      <c r="H8" s="80"/>
      <c r="I8" s="81"/>
      <c r="J8" s="81"/>
      <c r="K8" s="82"/>
    </row>
    <row r="9" spans="1:16" x14ac:dyDescent="0.25">
      <c r="A9" s="69" t="s">
        <v>12</v>
      </c>
      <c r="B9" s="31">
        <f t="shared" si="0"/>
        <v>25929977</v>
      </c>
      <c r="C9" s="32">
        <f>C10+C11</f>
        <v>0</v>
      </c>
      <c r="D9" s="33">
        <f>D10+D11</f>
        <v>0</v>
      </c>
      <c r="E9" s="33">
        <f>E10+E11</f>
        <v>11628546</v>
      </c>
      <c r="F9" s="34">
        <f>F10+F11</f>
        <v>14301431</v>
      </c>
      <c r="G9" s="13">
        <f>SUM(H9:K9)</f>
        <v>4.2991399999999995</v>
      </c>
      <c r="H9" s="83"/>
      <c r="I9" s="84"/>
      <c r="J9" s="85">
        <v>4.0791399999999998</v>
      </c>
      <c r="K9" s="86">
        <v>0.22</v>
      </c>
      <c r="M9" s="63"/>
    </row>
    <row r="10" spans="1:16" x14ac:dyDescent="0.25">
      <c r="A10" s="68" t="s">
        <v>10</v>
      </c>
      <c r="B10" s="18">
        <f t="shared" si="0"/>
        <v>12229335</v>
      </c>
      <c r="C10" s="37">
        <v>0</v>
      </c>
      <c r="D10" s="19">
        <v>0</v>
      </c>
      <c r="E10" s="55">
        <v>9874967</v>
      </c>
      <c r="F10" s="56">
        <v>2354368</v>
      </c>
      <c r="G10" s="40"/>
      <c r="H10" s="76"/>
      <c r="I10" s="77"/>
      <c r="J10" s="77"/>
      <c r="K10" s="79"/>
    </row>
    <row r="11" spans="1:16" ht="15.75" thickBot="1" x14ac:dyDescent="0.3">
      <c r="A11" s="68" t="s">
        <v>11</v>
      </c>
      <c r="B11" s="25">
        <f t="shared" si="0"/>
        <v>13700642</v>
      </c>
      <c r="C11" s="26">
        <v>0</v>
      </c>
      <c r="D11" s="27">
        <v>0</v>
      </c>
      <c r="E11" s="55">
        <v>1753579</v>
      </c>
      <c r="F11" s="56">
        <v>11947063</v>
      </c>
      <c r="G11" s="41"/>
      <c r="H11" s="80"/>
      <c r="I11" s="81"/>
      <c r="J11" s="81"/>
      <c r="K11" s="82"/>
    </row>
    <row r="12" spans="1:16" x14ac:dyDescent="0.25">
      <c r="A12" s="69" t="s">
        <v>13</v>
      </c>
      <c r="B12" s="9">
        <f t="shared" si="0"/>
        <v>168882</v>
      </c>
      <c r="C12" s="10">
        <f>C13+C14</f>
        <v>0</v>
      </c>
      <c r="D12" s="11">
        <f>D13+D14</f>
        <v>0</v>
      </c>
      <c r="E12" s="33">
        <f>E13+E14</f>
        <v>147071</v>
      </c>
      <c r="F12" s="34">
        <f>F13+F14</f>
        <v>21811</v>
      </c>
      <c r="G12" s="13">
        <f>SUM(H12:K12)</f>
        <v>0.224</v>
      </c>
      <c r="H12" s="83"/>
      <c r="I12" s="84"/>
      <c r="J12" s="87">
        <v>0.224</v>
      </c>
      <c r="K12" s="86"/>
      <c r="M12" s="63"/>
    </row>
    <row r="13" spans="1:16" x14ac:dyDescent="0.25">
      <c r="A13" s="68" t="s">
        <v>10</v>
      </c>
      <c r="B13" s="18">
        <f t="shared" si="0"/>
        <v>147071</v>
      </c>
      <c r="C13" s="37">
        <v>0</v>
      </c>
      <c r="D13" s="42">
        <v>0</v>
      </c>
      <c r="E13" s="38">
        <v>147071</v>
      </c>
      <c r="F13" s="44">
        <v>0</v>
      </c>
      <c r="G13" s="40"/>
      <c r="H13" s="76"/>
      <c r="I13" s="77"/>
      <c r="J13" s="77"/>
      <c r="K13" s="79"/>
    </row>
    <row r="14" spans="1:16" ht="15.75" thickBot="1" x14ac:dyDescent="0.3">
      <c r="A14" s="68" t="s">
        <v>11</v>
      </c>
      <c r="B14" s="25">
        <f t="shared" si="0"/>
        <v>21811</v>
      </c>
      <c r="C14" s="26">
        <v>0</v>
      </c>
      <c r="D14" s="45">
        <v>0</v>
      </c>
      <c r="E14" s="45">
        <v>0</v>
      </c>
      <c r="F14" s="57">
        <v>21811</v>
      </c>
      <c r="G14" s="41"/>
      <c r="H14" s="80"/>
      <c r="I14" s="81"/>
      <c r="J14" s="81"/>
      <c r="K14" s="82"/>
    </row>
    <row r="15" spans="1:16" x14ac:dyDescent="0.25">
      <c r="A15" s="69" t="s">
        <v>14</v>
      </c>
      <c r="B15" s="31">
        <f t="shared" si="0"/>
        <v>86303</v>
      </c>
      <c r="C15" s="32">
        <f>C16+C17</f>
        <v>0</v>
      </c>
      <c r="D15" s="33">
        <f>D16+D17</f>
        <v>0</v>
      </c>
      <c r="E15" s="33">
        <f>E16+E17</f>
        <v>24634</v>
      </c>
      <c r="F15" s="34">
        <f>F16+F17</f>
        <v>61669</v>
      </c>
      <c r="G15" s="13">
        <f>SUM(H15:K15)</f>
        <v>0.13200000000000001</v>
      </c>
      <c r="H15" s="83"/>
      <c r="I15" s="84"/>
      <c r="J15" s="87">
        <v>9.4E-2</v>
      </c>
      <c r="K15" s="86">
        <v>3.7999999999999999E-2</v>
      </c>
      <c r="M15" s="63"/>
    </row>
    <row r="16" spans="1:16" x14ac:dyDescent="0.25">
      <c r="A16" s="68" t="s">
        <v>10</v>
      </c>
      <c r="B16" s="47">
        <f t="shared" si="0"/>
        <v>86303</v>
      </c>
      <c r="C16" s="48">
        <v>0</v>
      </c>
      <c r="D16" s="19">
        <v>0</v>
      </c>
      <c r="E16" s="55">
        <v>24634</v>
      </c>
      <c r="F16" s="56">
        <v>61669</v>
      </c>
      <c r="G16" s="40"/>
      <c r="H16" s="76"/>
      <c r="I16" s="77"/>
      <c r="J16" s="77"/>
      <c r="K16" s="79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80"/>
      <c r="I17" s="81"/>
      <c r="J17" s="81"/>
      <c r="K17" s="82"/>
    </row>
    <row r="18" spans="1:13" x14ac:dyDescent="0.25">
      <c r="A18" s="69" t="s">
        <v>15</v>
      </c>
      <c r="B18" s="31">
        <f t="shared" si="0"/>
        <v>384980</v>
      </c>
      <c r="C18" s="32">
        <f>C19+C20</f>
        <v>0</v>
      </c>
      <c r="D18" s="33">
        <f>D19+D20</f>
        <v>0</v>
      </c>
      <c r="E18" s="33">
        <f>E19+E20</f>
        <v>33627</v>
      </c>
      <c r="F18" s="34">
        <f>F19+F20</f>
        <v>351353</v>
      </c>
      <c r="G18" s="13">
        <f>SUM(H18:K18)</f>
        <v>6.0000000000000001E-3</v>
      </c>
      <c r="H18" s="83"/>
      <c r="I18" s="84"/>
      <c r="J18" s="87"/>
      <c r="K18" s="86">
        <v>6.0000000000000001E-3</v>
      </c>
      <c r="M18" s="63"/>
    </row>
    <row r="19" spans="1:13" x14ac:dyDescent="0.25">
      <c r="A19" s="68" t="s">
        <v>10</v>
      </c>
      <c r="B19" s="47">
        <f t="shared" si="0"/>
        <v>232019</v>
      </c>
      <c r="C19" s="48">
        <v>0</v>
      </c>
      <c r="D19" s="38">
        <v>0</v>
      </c>
      <c r="E19" s="55">
        <v>33627</v>
      </c>
      <c r="F19" s="56">
        <v>198392</v>
      </c>
      <c r="G19" s="40"/>
      <c r="H19" s="76"/>
      <c r="I19" s="77"/>
      <c r="J19" s="77"/>
      <c r="K19" s="79"/>
    </row>
    <row r="20" spans="1:13" ht="15.75" thickBot="1" x14ac:dyDescent="0.3">
      <c r="A20" s="68" t="s">
        <v>11</v>
      </c>
      <c r="B20" s="49">
        <f t="shared" si="0"/>
        <v>152961</v>
      </c>
      <c r="C20" s="50">
        <v>0</v>
      </c>
      <c r="D20" s="27">
        <v>0</v>
      </c>
      <c r="E20" s="55">
        <v>0</v>
      </c>
      <c r="F20" s="57">
        <v>152961</v>
      </c>
      <c r="G20" s="41"/>
      <c r="H20" s="80"/>
      <c r="I20" s="81"/>
      <c r="J20" s="81"/>
      <c r="K20" s="82"/>
    </row>
    <row r="21" spans="1:13" x14ac:dyDescent="0.25">
      <c r="A21" s="69" t="s">
        <v>16</v>
      </c>
      <c r="B21" s="9">
        <f t="shared" si="0"/>
        <v>440076</v>
      </c>
      <c r="C21" s="51">
        <f>C22+C23</f>
        <v>0</v>
      </c>
      <c r="D21" s="33">
        <f>D22+D23</f>
        <v>0</v>
      </c>
      <c r="E21" s="33">
        <f>E22+E23</f>
        <v>440076</v>
      </c>
      <c r="F21" s="34">
        <f>F22+F23</f>
        <v>0</v>
      </c>
      <c r="G21" s="13">
        <f>SUM(H21:K21)</f>
        <v>2.1000000000000001E-2</v>
      </c>
      <c r="H21" s="83"/>
      <c r="I21" s="84"/>
      <c r="J21" s="87">
        <v>2.1000000000000001E-2</v>
      </c>
      <c r="K21" s="86"/>
      <c r="M21" s="63"/>
    </row>
    <row r="22" spans="1:13" x14ac:dyDescent="0.25">
      <c r="A22" s="68" t="s">
        <v>10</v>
      </c>
      <c r="B22" s="18">
        <f t="shared" si="0"/>
        <v>440076</v>
      </c>
      <c r="C22" s="37">
        <v>0</v>
      </c>
      <c r="D22" s="19">
        <v>0</v>
      </c>
      <c r="E22" s="55">
        <v>440076</v>
      </c>
      <c r="F22" s="39">
        <v>0</v>
      </c>
      <c r="G22" s="40"/>
      <c r="H22" s="76"/>
      <c r="I22" s="77"/>
      <c r="J22" s="77"/>
      <c r="K22" s="79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80"/>
      <c r="I23" s="81"/>
      <c r="J23" s="81"/>
      <c r="K23" s="82"/>
    </row>
    <row r="24" spans="1:13" x14ac:dyDescent="0.25">
      <c r="A24" s="67" t="s">
        <v>17</v>
      </c>
      <c r="B24" s="9">
        <f t="shared" si="0"/>
        <v>493789</v>
      </c>
      <c r="C24" s="92">
        <f>C25+C26</f>
        <v>0</v>
      </c>
      <c r="D24" s="93">
        <f>D25+D26</f>
        <v>0</v>
      </c>
      <c r="E24" s="94">
        <f>E25+E26</f>
        <v>493789</v>
      </c>
      <c r="F24" s="34">
        <f>F25+F26</f>
        <v>0</v>
      </c>
      <c r="G24" s="13">
        <f>SUM(H24:K24)</f>
        <v>0</v>
      </c>
      <c r="H24" s="83"/>
      <c r="I24" s="84"/>
      <c r="J24" s="87"/>
      <c r="K24" s="86"/>
      <c r="M24" s="63"/>
    </row>
    <row r="25" spans="1:13" x14ac:dyDescent="0.25">
      <c r="A25" s="71" t="s">
        <v>10</v>
      </c>
      <c r="B25" s="18">
        <f t="shared" si="0"/>
        <v>493789</v>
      </c>
      <c r="C25" s="37">
        <v>0</v>
      </c>
      <c r="D25" s="19">
        <v>0</v>
      </c>
      <c r="E25" s="55">
        <v>493789</v>
      </c>
      <c r="F25" s="39">
        <v>0</v>
      </c>
      <c r="G25" s="40"/>
      <c r="H25" s="76"/>
      <c r="I25" s="77"/>
      <c r="J25" s="77"/>
      <c r="K25" s="79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  <c r="G28" s="88"/>
    </row>
    <row r="29" spans="1:13" x14ac:dyDescent="0.25">
      <c r="B29" s="63"/>
      <c r="C29" s="63"/>
    </row>
    <row r="30" spans="1:13" x14ac:dyDescent="0.25">
      <c r="B30" s="63"/>
      <c r="C30" s="89"/>
    </row>
    <row r="31" spans="1:13" x14ac:dyDescent="0.25">
      <c r="B31" s="63"/>
    </row>
    <row r="32" spans="1:13" x14ac:dyDescent="0.25">
      <c r="B32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30"/>
  <sheetViews>
    <sheetView workbookViewId="0">
      <selection activeCell="K7" sqref="K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1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231583285</v>
      </c>
      <c r="C6" s="10">
        <f>C7+C8</f>
        <v>4100661</v>
      </c>
      <c r="D6" s="11">
        <f>D7+D8</f>
        <v>643080</v>
      </c>
      <c r="E6" s="11">
        <f>E7+E8</f>
        <v>96779529</v>
      </c>
      <c r="F6" s="12">
        <f>F7+F8</f>
        <v>130060015</v>
      </c>
      <c r="G6" s="13">
        <f>SUM(H6:K6)</f>
        <v>25.731622999999999</v>
      </c>
      <c r="H6" s="14">
        <v>0.44800000000000001</v>
      </c>
      <c r="I6" s="15"/>
      <c r="J6" s="16">
        <f>20.254621+0.014</f>
        <v>20.268621</v>
      </c>
      <c r="K6" s="70">
        <f>4.980002+0.035</f>
        <v>5.015002</v>
      </c>
    </row>
    <row r="7" spans="1:11" x14ac:dyDescent="0.25">
      <c r="A7" s="17" t="s">
        <v>10</v>
      </c>
      <c r="B7" s="18">
        <f t="shared" si="0"/>
        <v>121212005</v>
      </c>
      <c r="C7" s="58">
        <f>4057172+43489</f>
        <v>4100661</v>
      </c>
      <c r="D7" s="59">
        <v>643080</v>
      </c>
      <c r="E7" s="59">
        <f>82088411+1289816</f>
        <v>83378227</v>
      </c>
      <c r="F7" s="64">
        <f>32585322+504715</f>
        <v>33090037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110371280</v>
      </c>
      <c r="C8" s="60">
        <v>0</v>
      </c>
      <c r="D8" s="61">
        <v>0</v>
      </c>
      <c r="E8" s="62">
        <v>13401302</v>
      </c>
      <c r="F8" s="65">
        <f>95048214+1921764</f>
        <v>96969978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27895437</v>
      </c>
      <c r="C9" s="32">
        <f>C10+C11</f>
        <v>0</v>
      </c>
      <c r="D9" s="33">
        <f>D10+D11</f>
        <v>0</v>
      </c>
      <c r="E9" s="33">
        <f>E10+E11</f>
        <v>13149923</v>
      </c>
      <c r="F9" s="34">
        <f>F10+F11</f>
        <v>14745514</v>
      </c>
      <c r="G9" s="13">
        <f>SUM(H9:K9)</f>
        <v>4.9897080000000003</v>
      </c>
      <c r="H9" s="10"/>
      <c r="I9" s="11"/>
      <c r="J9" s="66">
        <v>4.4017080000000002</v>
      </c>
      <c r="K9" s="36">
        <v>0.58799999999999997</v>
      </c>
    </row>
    <row r="10" spans="1:11" x14ac:dyDescent="0.25">
      <c r="A10" s="68" t="s">
        <v>10</v>
      </c>
      <c r="B10" s="18">
        <f t="shared" si="0"/>
        <v>14409546</v>
      </c>
      <c r="C10" s="37">
        <v>0</v>
      </c>
      <c r="D10" s="19">
        <v>0</v>
      </c>
      <c r="E10" s="55">
        <v>11363582</v>
      </c>
      <c r="F10" s="56">
        <v>3045964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13485891</v>
      </c>
      <c r="C11" s="26">
        <v>0</v>
      </c>
      <c r="D11" s="27">
        <v>0</v>
      </c>
      <c r="E11" s="55">
        <v>1786341</v>
      </c>
      <c r="F11" s="56">
        <v>11699550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160496</v>
      </c>
      <c r="C12" s="10"/>
      <c r="D12" s="11"/>
      <c r="E12" s="33">
        <f>E13+E14</f>
        <v>123199</v>
      </c>
      <c r="F12" s="34">
        <f>F13+F14</f>
        <v>37297</v>
      </c>
      <c r="G12" s="13">
        <f>SUM(H12:K12)</f>
        <v>0.20899999999999999</v>
      </c>
      <c r="H12" s="10"/>
      <c r="I12" s="11"/>
      <c r="J12" s="35">
        <v>0.20899999999999999</v>
      </c>
      <c r="K12" s="36"/>
    </row>
    <row r="13" spans="1:11" x14ac:dyDescent="0.25">
      <c r="A13" s="68" t="s">
        <v>10</v>
      </c>
      <c r="B13" s="18">
        <f t="shared" si="0"/>
        <v>123199</v>
      </c>
      <c r="C13" s="37">
        <v>0</v>
      </c>
      <c r="D13" s="42">
        <v>0</v>
      </c>
      <c r="E13" s="43">
        <v>123199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37297</v>
      </c>
      <c r="C14" s="26">
        <v>0</v>
      </c>
      <c r="D14" s="45">
        <v>0</v>
      </c>
      <c r="E14" s="45">
        <v>0</v>
      </c>
      <c r="F14" s="57">
        <v>37297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95662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64841</v>
      </c>
      <c r="G15" s="13">
        <f>SUM(H15:K15)</f>
        <v>0.161</v>
      </c>
      <c r="H15" s="10"/>
      <c r="I15" s="11"/>
      <c r="J15" s="35">
        <v>5.1999999999999998E-2</v>
      </c>
      <c r="K15" s="36">
        <v>0.109</v>
      </c>
    </row>
    <row r="16" spans="1:11" x14ac:dyDescent="0.25">
      <c r="A16" s="68" t="s">
        <v>10</v>
      </c>
      <c r="B16" s="47">
        <f t="shared" si="0"/>
        <v>95662</v>
      </c>
      <c r="C16" s="48">
        <v>0</v>
      </c>
      <c r="D16" s="19">
        <v>0</v>
      </c>
      <c r="E16" s="55">
        <v>30821</v>
      </c>
      <c r="F16" s="56">
        <v>64841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372826</v>
      </c>
      <c r="C18" s="32">
        <f>C19+C20</f>
        <v>0</v>
      </c>
      <c r="D18" s="33">
        <f>D19+D20</f>
        <v>0</v>
      </c>
      <c r="E18" s="33">
        <f>E19+E20</f>
        <v>25931</v>
      </c>
      <c r="F18" s="34">
        <f>F19+F20</f>
        <v>346895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262105</v>
      </c>
      <c r="C19" s="48">
        <v>0</v>
      </c>
      <c r="D19" s="38">
        <v>0</v>
      </c>
      <c r="E19" s="55">
        <v>25931</v>
      </c>
      <c r="F19" s="56">
        <v>236174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110721</v>
      </c>
      <c r="C20" s="50">
        <v>0</v>
      </c>
      <c r="D20" s="27">
        <v>0</v>
      </c>
      <c r="E20" s="55">
        <v>0</v>
      </c>
      <c r="F20" s="57">
        <v>110721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383991</v>
      </c>
      <c r="C21" s="51"/>
      <c r="D21" s="33"/>
      <c r="E21" s="33">
        <f>E22+E23</f>
        <v>383991</v>
      </c>
      <c r="F21" s="34">
        <f>F22+F23</f>
        <v>0</v>
      </c>
      <c r="G21" s="13">
        <f>SUM(H21:K21)</f>
        <v>1.7999999999999999E-2</v>
      </c>
      <c r="H21" s="10"/>
      <c r="I21" s="11"/>
      <c r="J21" s="35">
        <v>1.7999999999999999E-2</v>
      </c>
      <c r="K21" s="36"/>
    </row>
    <row r="22" spans="1:11" x14ac:dyDescent="0.25">
      <c r="A22" s="68" t="s">
        <v>10</v>
      </c>
      <c r="B22" s="18">
        <f t="shared" si="0"/>
        <v>383991</v>
      </c>
      <c r="C22" s="37">
        <v>0</v>
      </c>
      <c r="D22" s="19">
        <v>0</v>
      </c>
      <c r="E22" s="55">
        <v>383991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438337</v>
      </c>
      <c r="C24" s="52"/>
      <c r="D24" s="35"/>
      <c r="E24" s="33">
        <f>E25+E26</f>
        <v>438337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438337</v>
      </c>
      <c r="C25" s="37">
        <v>0</v>
      </c>
      <c r="D25" s="19">
        <v>0</v>
      </c>
      <c r="E25" s="55">
        <v>438337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31"/>
  <sheetViews>
    <sheetView workbookViewId="0">
      <selection activeCell="N18" sqref="N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5" t="s">
        <v>20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1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218309421</v>
      </c>
      <c r="C6" s="10">
        <f>C7+C8</f>
        <v>4061798</v>
      </c>
      <c r="D6" s="11">
        <f>D7+D8</f>
        <v>713050</v>
      </c>
      <c r="E6" s="11">
        <f>E7+E8</f>
        <v>95009520</v>
      </c>
      <c r="F6" s="12">
        <f>F7+F8</f>
        <v>118525053</v>
      </c>
      <c r="G6" s="13">
        <f>SUM(H6:K6)</f>
        <v>25.461987000000001</v>
      </c>
      <c r="H6" s="14">
        <v>0.44</v>
      </c>
      <c r="I6" s="15"/>
      <c r="J6" s="16">
        <v>20.013691000000001</v>
      </c>
      <c r="K6" s="70">
        <v>5.0082959999999996</v>
      </c>
    </row>
    <row r="7" spans="1:11" x14ac:dyDescent="0.25">
      <c r="A7" s="17" t="s">
        <v>10</v>
      </c>
      <c r="B7" s="18">
        <f t="shared" si="0"/>
        <v>118704278</v>
      </c>
      <c r="C7" s="58">
        <f>4015329+46469</f>
        <v>4061798</v>
      </c>
      <c r="D7" s="59">
        <v>713050</v>
      </c>
      <c r="E7" s="59">
        <f>82643063+1268230</f>
        <v>83911293</v>
      </c>
      <c r="F7" s="64">
        <f>29642670+375467</f>
        <v>30018137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99605143</v>
      </c>
      <c r="C8" s="60">
        <v>0</v>
      </c>
      <c r="D8" s="61">
        <v>0</v>
      </c>
      <c r="E8" s="62">
        <v>11098227</v>
      </c>
      <c r="F8" s="65">
        <f>86547529+1959387</f>
        <v>88506916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23636816</v>
      </c>
      <c r="C9" s="32">
        <f>C10+C11</f>
        <v>0</v>
      </c>
      <c r="D9" s="33">
        <f>D10+D11</f>
        <v>0</v>
      </c>
      <c r="E9" s="33">
        <f>E10+E11</f>
        <v>10319771</v>
      </c>
      <c r="F9" s="34">
        <f>F10+F11</f>
        <v>13317045</v>
      </c>
      <c r="G9" s="13">
        <f>SUM(H9:K9)</f>
        <v>4.217625</v>
      </c>
      <c r="H9" s="10"/>
      <c r="I9" s="11"/>
      <c r="J9" s="66">
        <v>4.0446249999999999</v>
      </c>
      <c r="K9" s="36">
        <v>0.17299999999999999</v>
      </c>
    </row>
    <row r="10" spans="1:11" x14ac:dyDescent="0.25">
      <c r="A10" s="68" t="s">
        <v>10</v>
      </c>
      <c r="B10" s="18">
        <f t="shared" si="0"/>
        <v>11143657</v>
      </c>
      <c r="C10" s="37">
        <v>0</v>
      </c>
      <c r="D10" s="19">
        <v>0</v>
      </c>
      <c r="E10" s="55">
        <v>8860805</v>
      </c>
      <c r="F10" s="56">
        <v>2282852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12493159</v>
      </c>
      <c r="C11" s="26">
        <v>0</v>
      </c>
      <c r="D11" s="27">
        <v>0</v>
      </c>
      <c r="E11" s="55">
        <v>1458966</v>
      </c>
      <c r="F11" s="56">
        <v>11034193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140964</v>
      </c>
      <c r="C12" s="10"/>
      <c r="D12" s="11"/>
      <c r="E12" s="33">
        <f>E13+E14</f>
        <v>115223</v>
      </c>
      <c r="F12" s="34">
        <f>F13+F14</f>
        <v>25741</v>
      </c>
      <c r="G12" s="13">
        <f>SUM(H12:K12)</f>
        <v>0.17799999999999999</v>
      </c>
      <c r="H12" s="10"/>
      <c r="I12" s="11"/>
      <c r="J12" s="35">
        <v>0.17799999999999999</v>
      </c>
      <c r="K12" s="36"/>
    </row>
    <row r="13" spans="1:11" x14ac:dyDescent="0.25">
      <c r="A13" s="68" t="s">
        <v>10</v>
      </c>
      <c r="B13" s="18">
        <f t="shared" si="0"/>
        <v>115223</v>
      </c>
      <c r="C13" s="37">
        <v>0</v>
      </c>
      <c r="D13" s="42">
        <v>0</v>
      </c>
      <c r="E13" s="43">
        <v>115223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25741</v>
      </c>
      <c r="C14" s="26">
        <v>0</v>
      </c>
      <c r="D14" s="45">
        <v>0</v>
      </c>
      <c r="E14" s="45">
        <v>0</v>
      </c>
      <c r="F14" s="57">
        <v>25741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96239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65418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</row>
    <row r="16" spans="1:11" x14ac:dyDescent="0.25">
      <c r="A16" s="68" t="s">
        <v>10</v>
      </c>
      <c r="B16" s="47">
        <f t="shared" si="0"/>
        <v>96239</v>
      </c>
      <c r="C16" s="48">
        <v>0</v>
      </c>
      <c r="D16" s="19">
        <v>0</v>
      </c>
      <c r="E16" s="55">
        <v>30821</v>
      </c>
      <c r="F16" s="56">
        <v>65418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328385</v>
      </c>
      <c r="C18" s="32">
        <f>C19+C20</f>
        <v>0</v>
      </c>
      <c r="D18" s="33">
        <f>D19+D20</f>
        <v>0</v>
      </c>
      <c r="E18" s="33">
        <f>E19+E20</f>
        <v>36433</v>
      </c>
      <c r="F18" s="34">
        <f>F19+F20</f>
        <v>291952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226124</v>
      </c>
      <c r="C19" s="48">
        <v>0</v>
      </c>
      <c r="D19" s="38">
        <v>0</v>
      </c>
      <c r="E19" s="55">
        <v>36433</v>
      </c>
      <c r="F19" s="56">
        <v>189691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102261</v>
      </c>
      <c r="C20" s="50">
        <v>0</v>
      </c>
      <c r="D20" s="27">
        <v>0</v>
      </c>
      <c r="E20" s="55">
        <v>0</v>
      </c>
      <c r="F20" s="57">
        <v>102261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401334</v>
      </c>
      <c r="C21" s="51"/>
      <c r="D21" s="33"/>
      <c r="E21" s="33">
        <f>E22+E23</f>
        <v>401334</v>
      </c>
      <c r="F21" s="34">
        <f>F22+F23</f>
        <v>0</v>
      </c>
      <c r="G21" s="13">
        <f>SUM(H21:K21)</f>
        <v>1.4999999999999999E-2</v>
      </c>
      <c r="H21" s="10"/>
      <c r="I21" s="11"/>
      <c r="J21" s="35">
        <v>1.4999999999999999E-2</v>
      </c>
      <c r="K21" s="36"/>
    </row>
    <row r="22" spans="1:11" x14ac:dyDescent="0.25">
      <c r="A22" s="68" t="s">
        <v>10</v>
      </c>
      <c r="B22" s="18">
        <f t="shared" si="0"/>
        <v>401334</v>
      </c>
      <c r="C22" s="37">
        <v>0</v>
      </c>
      <c r="D22" s="19">
        <v>0</v>
      </c>
      <c r="E22" s="55">
        <v>401334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509009</v>
      </c>
      <c r="C24" s="52"/>
      <c r="D24" s="35"/>
      <c r="E24" s="33">
        <f>E25+E26</f>
        <v>509009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509009</v>
      </c>
      <c r="C25" s="37">
        <v>0</v>
      </c>
      <c r="D25" s="19">
        <v>0</v>
      </c>
      <c r="E25" s="55">
        <v>509009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1"/>
  <sheetViews>
    <sheetView workbookViewId="0">
      <selection activeCell="I28" sqref="I2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5" t="s">
        <v>21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1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208898694</v>
      </c>
      <c r="C6" s="10">
        <f>C7+C8</f>
        <v>3713917</v>
      </c>
      <c r="D6" s="11">
        <f>D7+D8</f>
        <v>644540</v>
      </c>
      <c r="E6" s="11">
        <f>E7+E8</f>
        <v>86748726</v>
      </c>
      <c r="F6" s="12">
        <f>F7+F8</f>
        <v>117791511</v>
      </c>
      <c r="G6" s="13">
        <f>SUM(H6:K6)</f>
        <v>24.206717999999999</v>
      </c>
      <c r="H6" s="14">
        <v>0.432</v>
      </c>
      <c r="I6" s="15"/>
      <c r="J6" s="16">
        <v>19.092708999999999</v>
      </c>
      <c r="K6" s="70">
        <v>4.6820089999999999</v>
      </c>
    </row>
    <row r="7" spans="1:11" x14ac:dyDescent="0.25">
      <c r="A7" s="17" t="s">
        <v>10</v>
      </c>
      <c r="B7" s="18">
        <f t="shared" si="0"/>
        <v>109754433</v>
      </c>
      <c r="C7" s="58">
        <f>3674293+39624</f>
        <v>3713917</v>
      </c>
      <c r="D7" s="59">
        <v>644540</v>
      </c>
      <c r="E7" s="59">
        <f>75062342+1024103</f>
        <v>76086445</v>
      </c>
      <c r="F7" s="64">
        <f>28969190+340341</f>
        <v>29309531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99144261</v>
      </c>
      <c r="C8" s="60">
        <v>0</v>
      </c>
      <c r="D8" s="61">
        <v>0</v>
      </c>
      <c r="E8" s="62">
        <v>10662281</v>
      </c>
      <c r="F8" s="65">
        <f>86541638+1940342</f>
        <v>88481980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22689800</v>
      </c>
      <c r="C9" s="32">
        <f>C10+C11</f>
        <v>0</v>
      </c>
      <c r="D9" s="33">
        <f>D10+D11</f>
        <v>0</v>
      </c>
      <c r="E9" s="33">
        <f>E10+E11</f>
        <v>9946965</v>
      </c>
      <c r="F9" s="34">
        <f>F10+F11</f>
        <v>12742835</v>
      </c>
      <c r="G9" s="13">
        <f>SUM(H9:K9)</f>
        <v>4.0166339999999998</v>
      </c>
      <c r="H9" s="10"/>
      <c r="I9" s="11"/>
      <c r="J9" s="66">
        <v>3.7906339999999998</v>
      </c>
      <c r="K9" s="36">
        <v>0.22600000000000001</v>
      </c>
    </row>
    <row r="10" spans="1:11" x14ac:dyDescent="0.25">
      <c r="A10" s="68" t="s">
        <v>10</v>
      </c>
      <c r="B10" s="18">
        <f t="shared" si="0"/>
        <v>10989369</v>
      </c>
      <c r="C10" s="37">
        <v>0</v>
      </c>
      <c r="D10" s="19">
        <v>0</v>
      </c>
      <c r="E10" s="55">
        <v>8473239</v>
      </c>
      <c r="F10" s="56">
        <v>2516130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11700431</v>
      </c>
      <c r="C11" s="26">
        <v>0</v>
      </c>
      <c r="D11" s="27">
        <v>0</v>
      </c>
      <c r="E11" s="55">
        <v>1473726</v>
      </c>
      <c r="F11" s="56">
        <v>10226705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116041</v>
      </c>
      <c r="C12" s="10"/>
      <c r="D12" s="11"/>
      <c r="E12" s="33">
        <f>E13+E14</f>
        <v>90520</v>
      </c>
      <c r="F12" s="34">
        <f>F13+F14</f>
        <v>25521</v>
      </c>
      <c r="G12" s="13">
        <f>SUM(H12:K12)</f>
        <v>0.13300000000000001</v>
      </c>
      <c r="H12" s="10"/>
      <c r="I12" s="11"/>
      <c r="J12" s="35">
        <v>0.13300000000000001</v>
      </c>
      <c r="K12" s="36"/>
    </row>
    <row r="13" spans="1:11" x14ac:dyDescent="0.25">
      <c r="A13" s="68" t="s">
        <v>10</v>
      </c>
      <c r="B13" s="18">
        <f t="shared" si="0"/>
        <v>90520</v>
      </c>
      <c r="C13" s="37">
        <v>0</v>
      </c>
      <c r="D13" s="42">
        <v>0</v>
      </c>
      <c r="E13" s="43">
        <v>90520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25521</v>
      </c>
      <c r="C14" s="26">
        <v>0</v>
      </c>
      <c r="D14" s="45">
        <v>0</v>
      </c>
      <c r="E14" s="45">
        <v>0</v>
      </c>
      <c r="F14" s="57">
        <v>25521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96082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65261</v>
      </c>
      <c r="G15" s="13">
        <f>SUM(H15:K15)</f>
        <v>0.151</v>
      </c>
      <c r="H15" s="10"/>
      <c r="I15" s="11"/>
      <c r="J15" s="35">
        <v>4.8000000000000001E-2</v>
      </c>
      <c r="K15" s="36">
        <v>0.10299999999999999</v>
      </c>
    </row>
    <row r="16" spans="1:11" x14ac:dyDescent="0.25">
      <c r="A16" s="68" t="s">
        <v>10</v>
      </c>
      <c r="B16" s="47">
        <f t="shared" si="0"/>
        <v>96082</v>
      </c>
      <c r="C16" s="48">
        <v>0</v>
      </c>
      <c r="D16" s="19">
        <v>0</v>
      </c>
      <c r="E16" s="55">
        <v>30821</v>
      </c>
      <c r="F16" s="56">
        <v>65261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357011</v>
      </c>
      <c r="C18" s="32">
        <f>C19+C20</f>
        <v>0</v>
      </c>
      <c r="D18" s="33">
        <f>D19+D20</f>
        <v>0</v>
      </c>
      <c r="E18" s="33">
        <f>E19+E20</f>
        <v>83370</v>
      </c>
      <c r="F18" s="34">
        <f>F19+F20</f>
        <v>273641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236150</v>
      </c>
      <c r="C19" s="48">
        <v>0</v>
      </c>
      <c r="D19" s="38">
        <v>0</v>
      </c>
      <c r="E19" s="55">
        <v>83370</v>
      </c>
      <c r="F19" s="56">
        <v>152780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120861</v>
      </c>
      <c r="C20" s="50">
        <v>0</v>
      </c>
      <c r="D20" s="27">
        <v>0</v>
      </c>
      <c r="E20" s="55">
        <v>0</v>
      </c>
      <c r="F20" s="57">
        <v>120861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383786</v>
      </c>
      <c r="C21" s="51"/>
      <c r="D21" s="33"/>
      <c r="E21" s="33">
        <f>E22+E23</f>
        <v>383786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</row>
    <row r="22" spans="1:11" x14ac:dyDescent="0.25">
      <c r="A22" s="68" t="s">
        <v>10</v>
      </c>
      <c r="B22" s="18">
        <f t="shared" si="0"/>
        <v>383786</v>
      </c>
      <c r="C22" s="37">
        <v>0</v>
      </c>
      <c r="D22" s="19">
        <v>0</v>
      </c>
      <c r="E22" s="55">
        <v>383786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419238</v>
      </c>
      <c r="C24" s="52"/>
      <c r="D24" s="35"/>
      <c r="E24" s="33">
        <f>E25+E26</f>
        <v>419238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419238</v>
      </c>
      <c r="C25" s="37">
        <v>0</v>
      </c>
      <c r="D25" s="19">
        <v>0</v>
      </c>
      <c r="E25" s="55">
        <v>419238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31"/>
  <sheetViews>
    <sheetView workbookViewId="0">
      <selection activeCell="K15" sqref="K15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1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69" t="s">
        <v>9</v>
      </c>
      <c r="B6" s="9">
        <f t="shared" ref="B6:B26" si="0">C6+D6+E6+F6</f>
        <v>188096497.00300002</v>
      </c>
      <c r="C6" s="10">
        <f>C7+C8</f>
        <v>3087222</v>
      </c>
      <c r="D6" s="11">
        <f>D7+D8</f>
        <v>579664</v>
      </c>
      <c r="E6" s="11">
        <f>E7+E8</f>
        <v>76344787</v>
      </c>
      <c r="F6" s="12">
        <f>F7+F8</f>
        <v>108084824.00300001</v>
      </c>
      <c r="G6" s="13">
        <f>SUM(H6:K6)</f>
        <v>21.570526999999998</v>
      </c>
      <c r="H6" s="14">
        <v>0.40500000000000003</v>
      </c>
      <c r="I6" s="15"/>
      <c r="J6" s="16">
        <v>16.900897999999998</v>
      </c>
      <c r="K6" s="70">
        <v>4.2646289999999993</v>
      </c>
    </row>
    <row r="7" spans="1:11" x14ac:dyDescent="0.25">
      <c r="A7" s="68" t="s">
        <v>10</v>
      </c>
      <c r="B7" s="18">
        <f t="shared" si="0"/>
        <v>96711289</v>
      </c>
      <c r="C7" s="58">
        <f>3074323+12899</f>
        <v>3087222</v>
      </c>
      <c r="D7" s="59">
        <v>579664</v>
      </c>
      <c r="E7" s="59">
        <f>65702022+651900</f>
        <v>66353922</v>
      </c>
      <c r="F7" s="64">
        <f>26354829+335652</f>
        <v>26690481</v>
      </c>
      <c r="G7" s="20"/>
      <c r="H7" s="21"/>
      <c r="I7" s="22"/>
      <c r="J7" s="23"/>
      <c r="K7" s="24"/>
    </row>
    <row r="8" spans="1:11" ht="15.75" thickBot="1" x14ac:dyDescent="0.3">
      <c r="A8" s="68" t="s">
        <v>11</v>
      </c>
      <c r="B8" s="25">
        <f t="shared" si="0"/>
        <v>91385208.003000006</v>
      </c>
      <c r="C8" s="60">
        <v>0</v>
      </c>
      <c r="D8" s="61">
        <v>0</v>
      </c>
      <c r="E8" s="62">
        <v>9990865</v>
      </c>
      <c r="F8" s="65">
        <f>79461672.003+1932671</f>
        <v>81394343.003000006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21207536</v>
      </c>
      <c r="C9" s="32">
        <f>C10+C11</f>
        <v>0</v>
      </c>
      <c r="D9" s="33">
        <f>D10+D11</f>
        <v>0</v>
      </c>
      <c r="E9" s="33">
        <f>E10+E11</f>
        <v>9137944</v>
      </c>
      <c r="F9" s="34">
        <f>F10+F11</f>
        <v>12069592</v>
      </c>
      <c r="G9" s="13">
        <f>SUM(H9:K9)</f>
        <v>3.6869190000000001</v>
      </c>
      <c r="H9" s="10"/>
      <c r="I9" s="11"/>
      <c r="J9" s="66">
        <v>3.501919</v>
      </c>
      <c r="K9" s="36">
        <v>0.185</v>
      </c>
    </row>
    <row r="10" spans="1:11" x14ac:dyDescent="0.25">
      <c r="A10" s="68" t="s">
        <v>10</v>
      </c>
      <c r="B10" s="18">
        <f t="shared" si="0"/>
        <v>9889771</v>
      </c>
      <c r="C10" s="37">
        <v>0</v>
      </c>
      <c r="D10" s="19">
        <v>0</v>
      </c>
      <c r="E10" s="55">
        <v>7901141</v>
      </c>
      <c r="F10" s="56">
        <v>1988630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11317765</v>
      </c>
      <c r="C11" s="26">
        <v>0</v>
      </c>
      <c r="D11" s="27">
        <v>0</v>
      </c>
      <c r="E11" s="55">
        <v>1236803</v>
      </c>
      <c r="F11" s="56">
        <v>10080962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99410</v>
      </c>
      <c r="C12" s="10"/>
      <c r="D12" s="11"/>
      <c r="E12" s="33">
        <f>E13+E14</f>
        <v>79643</v>
      </c>
      <c r="F12" s="34">
        <f>F13+F14</f>
        <v>19767</v>
      </c>
      <c r="G12" s="13">
        <f>SUM(H12:K12)</f>
        <v>0.115</v>
      </c>
      <c r="H12" s="10"/>
      <c r="I12" s="11"/>
      <c r="J12" s="35">
        <v>0.115</v>
      </c>
      <c r="K12" s="36"/>
    </row>
    <row r="13" spans="1:11" x14ac:dyDescent="0.25">
      <c r="A13" s="68" t="s">
        <v>10</v>
      </c>
      <c r="B13" s="18">
        <f t="shared" si="0"/>
        <v>79643</v>
      </c>
      <c r="C13" s="37">
        <v>0</v>
      </c>
      <c r="D13" s="42">
        <v>0</v>
      </c>
      <c r="E13" s="43">
        <v>79643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19767</v>
      </c>
      <c r="C14" s="26">
        <v>0</v>
      </c>
      <c r="D14" s="45">
        <v>0</v>
      </c>
      <c r="E14" s="45">
        <v>0</v>
      </c>
      <c r="F14" s="57">
        <v>19767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96464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65643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96464</v>
      </c>
      <c r="C16" s="48">
        <v>0</v>
      </c>
      <c r="D16" s="19">
        <v>0</v>
      </c>
      <c r="E16" s="55">
        <v>30821</v>
      </c>
      <c r="F16" s="56">
        <v>65643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266111</v>
      </c>
      <c r="C18" s="32">
        <f>C19+C20</f>
        <v>0</v>
      </c>
      <c r="D18" s="33">
        <f>D19+D20</f>
        <v>0</v>
      </c>
      <c r="E18" s="33">
        <f>E19+E20</f>
        <v>29232</v>
      </c>
      <c r="F18" s="34">
        <f>F19+F20</f>
        <v>236879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168340</v>
      </c>
      <c r="C19" s="48">
        <v>0</v>
      </c>
      <c r="D19" s="38">
        <v>0</v>
      </c>
      <c r="E19" s="55">
        <v>29232</v>
      </c>
      <c r="F19" s="56">
        <v>139108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97771</v>
      </c>
      <c r="C20" s="50">
        <v>0</v>
      </c>
      <c r="D20" s="27">
        <v>0</v>
      </c>
      <c r="E20" s="55">
        <v>0</v>
      </c>
      <c r="F20" s="57">
        <v>97771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328341</v>
      </c>
      <c r="C21" s="51"/>
      <c r="D21" s="33"/>
      <c r="E21" s="33">
        <f>E22+E23</f>
        <v>328341</v>
      </c>
      <c r="F21" s="34">
        <f>F22+F23</f>
        <v>0</v>
      </c>
      <c r="G21" s="13">
        <f>SUM(H21:K21)</f>
        <v>1.0999999999999999E-2</v>
      </c>
      <c r="H21" s="10"/>
      <c r="I21" s="11"/>
      <c r="J21" s="35">
        <v>1.0999999999999999E-2</v>
      </c>
      <c r="K21" s="36"/>
    </row>
    <row r="22" spans="1:11" x14ac:dyDescent="0.25">
      <c r="A22" s="68" t="s">
        <v>10</v>
      </c>
      <c r="B22" s="18">
        <f t="shared" si="0"/>
        <v>328341</v>
      </c>
      <c r="C22" s="37">
        <v>0</v>
      </c>
      <c r="D22" s="19">
        <v>0</v>
      </c>
      <c r="E22" s="55">
        <v>328341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458638</v>
      </c>
      <c r="C24" s="52"/>
      <c r="D24" s="35"/>
      <c r="E24" s="33">
        <f>E25+E26</f>
        <v>458638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71" t="s">
        <v>10</v>
      </c>
      <c r="B25" s="18">
        <f t="shared" si="0"/>
        <v>458638</v>
      </c>
      <c r="C25" s="37">
        <v>0</v>
      </c>
      <c r="D25" s="19">
        <v>0</v>
      </c>
      <c r="E25" s="55">
        <v>458638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M31"/>
  <sheetViews>
    <sheetView workbookViewId="0">
      <selection activeCell="O11" sqref="O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95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3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168156890</v>
      </c>
      <c r="C6" s="10">
        <f>C7+C8</f>
        <v>2873928</v>
      </c>
      <c r="D6" s="11">
        <f>D7+D8</f>
        <v>527848</v>
      </c>
      <c r="E6" s="11">
        <f>E7+E8</f>
        <v>65071128</v>
      </c>
      <c r="F6" s="12">
        <f>F7+F8</f>
        <v>99683986</v>
      </c>
      <c r="G6" s="13">
        <f>SUM(H6:K6)</f>
        <v>20.825908999999999</v>
      </c>
      <c r="H6" s="14">
        <v>0.42199999999999999</v>
      </c>
      <c r="I6" s="15"/>
      <c r="J6" s="16">
        <f>16.367832+0.016</f>
        <v>16.383831999999998</v>
      </c>
      <c r="K6" s="70">
        <f>3.824077+0.196</f>
        <v>4.0200769999999997</v>
      </c>
      <c r="M6" s="63"/>
    </row>
    <row r="7" spans="1:13" x14ac:dyDescent="0.25">
      <c r="A7" s="68" t="s">
        <v>10</v>
      </c>
      <c r="B7" s="18">
        <f t="shared" si="0"/>
        <v>84817651</v>
      </c>
      <c r="C7" s="58">
        <f>2822138+51790</f>
        <v>2873928</v>
      </c>
      <c r="D7" s="59">
        <v>527848</v>
      </c>
      <c r="E7" s="59">
        <f>56560932+290512</f>
        <v>56851444</v>
      </c>
      <c r="F7" s="64">
        <f>23925586+638845</f>
        <v>24564431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83339239</v>
      </c>
      <c r="C8" s="60">
        <v>0</v>
      </c>
      <c r="D8" s="61">
        <v>0</v>
      </c>
      <c r="E8" s="62">
        <v>8219684</v>
      </c>
      <c r="F8" s="65">
        <f>73307578+1811977</f>
        <v>75119555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20091267</v>
      </c>
      <c r="C9" s="32">
        <f>C10+C11</f>
        <v>0</v>
      </c>
      <c r="D9" s="33">
        <f>D10+D11</f>
        <v>0</v>
      </c>
      <c r="E9" s="33">
        <f>E10+E11</f>
        <v>8562094</v>
      </c>
      <c r="F9" s="34">
        <f>F10+F11</f>
        <v>11529173</v>
      </c>
      <c r="G9" s="13">
        <f>SUM(H9:K9)</f>
        <v>3.5222449999999998</v>
      </c>
      <c r="H9" s="10"/>
      <c r="I9" s="11"/>
      <c r="J9" s="66">
        <v>3.319245</v>
      </c>
      <c r="K9" s="36">
        <v>0.20300000000000001</v>
      </c>
      <c r="M9" s="63"/>
    </row>
    <row r="10" spans="1:13" x14ac:dyDescent="0.25">
      <c r="A10" s="68" t="s">
        <v>10</v>
      </c>
      <c r="B10" s="18">
        <f t="shared" si="0"/>
        <v>9490964</v>
      </c>
      <c r="C10" s="37">
        <v>0</v>
      </c>
      <c r="D10" s="19">
        <v>0</v>
      </c>
      <c r="E10" s="55">
        <v>7614939</v>
      </c>
      <c r="F10" s="56">
        <v>1876025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10600303</v>
      </c>
      <c r="C11" s="26">
        <v>0</v>
      </c>
      <c r="D11" s="27">
        <v>0</v>
      </c>
      <c r="E11" s="55">
        <v>947155</v>
      </c>
      <c r="F11" s="56">
        <v>9653148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70230</v>
      </c>
      <c r="C12" s="10"/>
      <c r="D12" s="11"/>
      <c r="E12" s="33">
        <f>E13+E14</f>
        <v>62925</v>
      </c>
      <c r="F12" s="34">
        <f>F13+F14</f>
        <v>7305</v>
      </c>
      <c r="G12" s="13">
        <f>SUM(H12:K12)</f>
        <v>9.4E-2</v>
      </c>
      <c r="H12" s="10"/>
      <c r="I12" s="11"/>
      <c r="J12" s="35">
        <v>9.4E-2</v>
      </c>
      <c r="K12" s="36"/>
      <c r="M12" s="63"/>
    </row>
    <row r="13" spans="1:13" x14ac:dyDescent="0.25">
      <c r="A13" s="68" t="s">
        <v>10</v>
      </c>
      <c r="B13" s="18">
        <f t="shared" si="0"/>
        <v>62925</v>
      </c>
      <c r="C13" s="37">
        <v>0</v>
      </c>
      <c r="D13" s="42">
        <v>0</v>
      </c>
      <c r="E13" s="43">
        <v>62925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7305</v>
      </c>
      <c r="C14" s="26">
        <v>0</v>
      </c>
      <c r="D14" s="45">
        <v>0</v>
      </c>
      <c r="E14" s="45">
        <v>0</v>
      </c>
      <c r="F14" s="57">
        <v>7305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96466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65645</v>
      </c>
      <c r="G15" s="13">
        <f>SUM(H15:K15)</f>
        <v>0.15</v>
      </c>
      <c r="H15" s="10"/>
      <c r="I15" s="11"/>
      <c r="J15" s="35">
        <v>4.8000000000000001E-2</v>
      </c>
      <c r="K15" s="36">
        <v>0.10199999999999999</v>
      </c>
      <c r="M15" s="63"/>
    </row>
    <row r="16" spans="1:13" x14ac:dyDescent="0.25">
      <c r="A16" s="68" t="s">
        <v>10</v>
      </c>
      <c r="B16" s="47">
        <f t="shared" si="0"/>
        <v>96466</v>
      </c>
      <c r="C16" s="48">
        <v>0</v>
      </c>
      <c r="D16" s="19">
        <v>0</v>
      </c>
      <c r="E16" s="55">
        <v>30821</v>
      </c>
      <c r="F16" s="56">
        <v>65645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330985</v>
      </c>
      <c r="C18" s="32">
        <f>C19+C20</f>
        <v>0</v>
      </c>
      <c r="D18" s="33">
        <f>D19+D20</f>
        <v>0</v>
      </c>
      <c r="E18" s="33">
        <f>E19+E20</f>
        <v>22430</v>
      </c>
      <c r="F18" s="34">
        <f>F19+F20</f>
        <v>308555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136279</v>
      </c>
      <c r="C19" s="48">
        <v>0</v>
      </c>
      <c r="D19" s="38">
        <v>0</v>
      </c>
      <c r="E19" s="55">
        <v>22430</v>
      </c>
      <c r="F19" s="56">
        <v>113849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194706</v>
      </c>
      <c r="C20" s="50">
        <v>0</v>
      </c>
      <c r="D20" s="27">
        <v>0</v>
      </c>
      <c r="E20" s="55">
        <v>0</v>
      </c>
      <c r="F20" s="57">
        <v>194706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284879</v>
      </c>
      <c r="C21" s="51"/>
      <c r="D21" s="33"/>
      <c r="E21" s="33">
        <f>E22+E23</f>
        <v>284879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  <c r="M21" s="63"/>
    </row>
    <row r="22" spans="1:13" x14ac:dyDescent="0.25">
      <c r="A22" s="68" t="s">
        <v>10</v>
      </c>
      <c r="B22" s="18">
        <f t="shared" si="0"/>
        <v>284879</v>
      </c>
      <c r="C22" s="37">
        <v>0</v>
      </c>
      <c r="D22" s="19">
        <v>0</v>
      </c>
      <c r="E22" s="55">
        <v>284879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430348</v>
      </c>
      <c r="C24" s="52"/>
      <c r="D24" s="35"/>
      <c r="E24" s="33">
        <f>E25+E26</f>
        <v>430348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430348</v>
      </c>
      <c r="C25" s="37">
        <v>0</v>
      </c>
      <c r="D25" s="19">
        <v>0</v>
      </c>
      <c r="E25" s="55">
        <v>430348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M31"/>
  <sheetViews>
    <sheetView workbookViewId="0">
      <selection activeCell="J21" sqref="J2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95" t="s">
        <v>24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3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163250440</v>
      </c>
      <c r="C6" s="10">
        <f>C7+C8</f>
        <v>2768832</v>
      </c>
      <c r="D6" s="11">
        <f>D7+D8</f>
        <v>777499</v>
      </c>
      <c r="E6" s="11">
        <f>E7+E8</f>
        <v>64385198</v>
      </c>
      <c r="F6" s="12">
        <f>F7+F8</f>
        <v>95318911</v>
      </c>
      <c r="G6" s="13">
        <f>SUM(H6:K6)</f>
        <v>22.335884000000004</v>
      </c>
      <c r="H6" s="14">
        <v>0.44400000000000001</v>
      </c>
      <c r="I6" s="15"/>
      <c r="J6" s="16">
        <v>17.733407000000003</v>
      </c>
      <c r="K6" s="70">
        <v>4.1584770000000004</v>
      </c>
      <c r="M6" s="63"/>
    </row>
    <row r="7" spans="1:13" x14ac:dyDescent="0.25">
      <c r="A7" s="68" t="s">
        <v>10</v>
      </c>
      <c r="B7" s="18">
        <f t="shared" si="0"/>
        <v>85551043</v>
      </c>
      <c r="C7" s="58">
        <f>2738550+30282</f>
        <v>2768832</v>
      </c>
      <c r="D7" s="59">
        <v>777499</v>
      </c>
      <c r="E7" s="59">
        <f>56924171+263148</f>
        <v>57187319</v>
      </c>
      <c r="F7" s="64">
        <f>24299817+517576</f>
        <v>24817393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77699397</v>
      </c>
      <c r="C8" s="60">
        <v>0</v>
      </c>
      <c r="D8" s="61">
        <v>0</v>
      </c>
      <c r="E8" s="62">
        <v>7197879</v>
      </c>
      <c r="F8" s="65">
        <f>68786584+1714934</f>
        <v>70501518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17719747</v>
      </c>
      <c r="C9" s="32">
        <f>C10+C11</f>
        <v>0</v>
      </c>
      <c r="D9" s="33">
        <f>D10+D11</f>
        <v>0</v>
      </c>
      <c r="E9" s="33">
        <f>E10+E11</f>
        <v>8130710</v>
      </c>
      <c r="F9" s="34">
        <f>F10+F11</f>
        <v>9589037</v>
      </c>
      <c r="G9" s="13">
        <f>SUM(H9:K9)</f>
        <v>3.7573029999999998</v>
      </c>
      <c r="H9" s="10"/>
      <c r="I9" s="11"/>
      <c r="J9" s="66">
        <v>3.566303</v>
      </c>
      <c r="K9" s="36">
        <v>0.191</v>
      </c>
      <c r="M9" s="63"/>
    </row>
    <row r="10" spans="1:13" x14ac:dyDescent="0.25">
      <c r="A10" s="68" t="s">
        <v>10</v>
      </c>
      <c r="B10" s="18">
        <f t="shared" si="0"/>
        <v>8779297</v>
      </c>
      <c r="C10" s="37">
        <v>0</v>
      </c>
      <c r="D10" s="19">
        <v>0</v>
      </c>
      <c r="E10" s="55">
        <v>7215991</v>
      </c>
      <c r="F10" s="56">
        <v>1563306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8940450</v>
      </c>
      <c r="C11" s="26">
        <v>0</v>
      </c>
      <c r="D11" s="27">
        <v>0</v>
      </c>
      <c r="E11" s="55">
        <v>914719</v>
      </c>
      <c r="F11" s="56">
        <v>8025731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83126</v>
      </c>
      <c r="C12" s="10"/>
      <c r="D12" s="11"/>
      <c r="E12" s="33">
        <f>E13+E14</f>
        <v>74973</v>
      </c>
      <c r="F12" s="34">
        <f>F13+F14</f>
        <v>8153</v>
      </c>
      <c r="G12" s="13">
        <f>SUM(H12:K12)</f>
        <v>0.106</v>
      </c>
      <c r="H12" s="10"/>
      <c r="I12" s="11"/>
      <c r="J12" s="35">
        <v>0.106</v>
      </c>
      <c r="K12" s="36"/>
      <c r="M12" s="63"/>
    </row>
    <row r="13" spans="1:13" x14ac:dyDescent="0.25">
      <c r="A13" s="68" t="s">
        <v>10</v>
      </c>
      <c r="B13" s="18">
        <f t="shared" si="0"/>
        <v>74973</v>
      </c>
      <c r="C13" s="37">
        <v>0</v>
      </c>
      <c r="D13" s="42">
        <v>0</v>
      </c>
      <c r="E13" s="43">
        <v>74973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8153</v>
      </c>
      <c r="C14" s="26">
        <v>0</v>
      </c>
      <c r="D14" s="45">
        <v>0</v>
      </c>
      <c r="E14" s="45">
        <v>0</v>
      </c>
      <c r="F14" s="57">
        <v>8153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96857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66036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  <c r="M15" s="63"/>
    </row>
    <row r="16" spans="1:13" x14ac:dyDescent="0.25">
      <c r="A16" s="68" t="s">
        <v>10</v>
      </c>
      <c r="B16" s="47">
        <f t="shared" si="0"/>
        <v>96857</v>
      </c>
      <c r="C16" s="48">
        <v>0</v>
      </c>
      <c r="D16" s="19">
        <v>0</v>
      </c>
      <c r="E16" s="55">
        <v>30821</v>
      </c>
      <c r="F16" s="56">
        <v>66036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221413</v>
      </c>
      <c r="C18" s="32">
        <f>C19+C20</f>
        <v>0</v>
      </c>
      <c r="D18" s="33">
        <f>D19+D20</f>
        <v>0</v>
      </c>
      <c r="E18" s="33">
        <f>E19+E20</f>
        <v>21286</v>
      </c>
      <c r="F18" s="34">
        <f>F19+F20</f>
        <v>200127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103554</v>
      </c>
      <c r="C19" s="48">
        <v>0</v>
      </c>
      <c r="D19" s="38">
        <v>0</v>
      </c>
      <c r="E19" s="55">
        <v>21286</v>
      </c>
      <c r="F19" s="56">
        <f>78564+3704</f>
        <v>82268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117859</v>
      </c>
      <c r="C20" s="50">
        <v>0</v>
      </c>
      <c r="D20" s="27">
        <v>0</v>
      </c>
      <c r="E20" s="55">
        <v>0</v>
      </c>
      <c r="F20" s="57">
        <f>51475+66384</f>
        <v>117859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305786</v>
      </c>
      <c r="C21" s="51"/>
      <c r="D21" s="33"/>
      <c r="E21" s="33">
        <f>E22+E23</f>
        <v>305786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  <c r="M21" s="63"/>
    </row>
    <row r="22" spans="1:13" x14ac:dyDescent="0.25">
      <c r="A22" s="68" t="s">
        <v>10</v>
      </c>
      <c r="B22" s="18">
        <f t="shared" si="0"/>
        <v>305786</v>
      </c>
      <c r="C22" s="37">
        <v>0</v>
      </c>
      <c r="D22" s="19">
        <v>0</v>
      </c>
      <c r="E22" s="55">
        <v>305786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439496</v>
      </c>
      <c r="C24" s="52"/>
      <c r="D24" s="35"/>
      <c r="E24" s="33">
        <f>E25+E26</f>
        <v>439496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439496</v>
      </c>
      <c r="C25" s="37">
        <v>0</v>
      </c>
      <c r="D25" s="19">
        <v>0</v>
      </c>
      <c r="E25" s="55">
        <v>439496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31"/>
  <sheetViews>
    <sheetView workbookViewId="0">
      <selection activeCell="A3" sqref="A3:K3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3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166077012</v>
      </c>
      <c r="C6" s="10">
        <f>C7+C8</f>
        <v>2785932</v>
      </c>
      <c r="D6" s="11">
        <f>D7+D8</f>
        <v>678587</v>
      </c>
      <c r="E6" s="11">
        <f>E7+E8</f>
        <v>67944980</v>
      </c>
      <c r="F6" s="12">
        <f>F7+F8</f>
        <v>94667513</v>
      </c>
      <c r="G6" s="13">
        <f>SUM(H6:K6)</f>
        <v>20.527850000000001</v>
      </c>
      <c r="H6" s="14">
        <v>0.435</v>
      </c>
      <c r="I6" s="15"/>
      <c r="J6" s="16">
        <v>16.253554000000001</v>
      </c>
      <c r="K6" s="70">
        <v>3.839296</v>
      </c>
      <c r="M6" s="63"/>
    </row>
    <row r="7" spans="1:13" x14ac:dyDescent="0.25">
      <c r="A7" s="68" t="s">
        <v>10</v>
      </c>
      <c r="B7" s="18">
        <f t="shared" si="0"/>
        <v>89244510</v>
      </c>
      <c r="C7" s="58">
        <v>2785932</v>
      </c>
      <c r="D7" s="59">
        <v>678587</v>
      </c>
      <c r="E7" s="59">
        <v>60532903</v>
      </c>
      <c r="F7" s="64">
        <v>25247088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76832502</v>
      </c>
      <c r="C8" s="60">
        <v>0</v>
      </c>
      <c r="D8" s="61">
        <v>0</v>
      </c>
      <c r="E8" s="62">
        <v>7412077</v>
      </c>
      <c r="F8" s="65">
        <v>69420425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17919119</v>
      </c>
      <c r="C9" s="32">
        <f>C10+C11</f>
        <v>0</v>
      </c>
      <c r="D9" s="33">
        <f>D10+D11</f>
        <v>0</v>
      </c>
      <c r="E9" s="33">
        <f>E10+E11</f>
        <v>8338486</v>
      </c>
      <c r="F9" s="34">
        <f>F10+F11</f>
        <v>9580633</v>
      </c>
      <c r="G9" s="13">
        <f>SUM(H9:K9)</f>
        <v>3.9301680000000001</v>
      </c>
      <c r="H9" s="10"/>
      <c r="I9" s="11"/>
      <c r="J9" s="66">
        <v>3.7301679999999999</v>
      </c>
      <c r="K9" s="36">
        <v>0.2</v>
      </c>
      <c r="M9" s="63"/>
    </row>
    <row r="10" spans="1:13" x14ac:dyDescent="0.25">
      <c r="A10" s="68" t="s">
        <v>10</v>
      </c>
      <c r="B10" s="18">
        <f t="shared" si="0"/>
        <v>9374764</v>
      </c>
      <c r="C10" s="37">
        <v>0</v>
      </c>
      <c r="D10" s="19">
        <v>0</v>
      </c>
      <c r="E10" s="55">
        <v>7493517</v>
      </c>
      <c r="F10" s="56">
        <v>1881247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8544355</v>
      </c>
      <c r="C11" s="26">
        <v>0</v>
      </c>
      <c r="D11" s="27">
        <v>0</v>
      </c>
      <c r="E11" s="55">
        <v>844969</v>
      </c>
      <c r="F11" s="56">
        <v>7699386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69973</v>
      </c>
      <c r="C12" s="10"/>
      <c r="D12" s="11"/>
      <c r="E12" s="33">
        <f>E13+E14</f>
        <v>69379</v>
      </c>
      <c r="F12" s="34">
        <f>F13+F14</f>
        <v>594</v>
      </c>
      <c r="G12" s="13">
        <f>SUM(H12:K12)</f>
        <v>0.10299999999999999</v>
      </c>
      <c r="H12" s="10"/>
      <c r="I12" s="11"/>
      <c r="J12" s="35">
        <v>0.10299999999999999</v>
      </c>
      <c r="K12" s="36"/>
      <c r="M12" s="63"/>
    </row>
    <row r="13" spans="1:13" x14ac:dyDescent="0.25">
      <c r="A13" s="68" t="s">
        <v>10</v>
      </c>
      <c r="B13" s="18">
        <f t="shared" si="0"/>
        <v>69379</v>
      </c>
      <c r="C13" s="37">
        <v>0</v>
      </c>
      <c r="D13" s="42">
        <v>0</v>
      </c>
      <c r="E13" s="43">
        <v>69379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594</v>
      </c>
      <c r="C14" s="26">
        <v>0</v>
      </c>
      <c r="D14" s="45">
        <v>0</v>
      </c>
      <c r="E14" s="45">
        <v>0</v>
      </c>
      <c r="F14" s="57">
        <v>594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98122</v>
      </c>
      <c r="C15" s="32">
        <f>C16+C17</f>
        <v>0</v>
      </c>
      <c r="D15" s="33">
        <f>D16+D17</f>
        <v>0</v>
      </c>
      <c r="E15" s="33">
        <f>E16+E17</f>
        <v>31346</v>
      </c>
      <c r="F15" s="34">
        <f>F16+F17</f>
        <v>66776</v>
      </c>
      <c r="G15" s="13">
        <f>SUM(H15:K15)</f>
        <v>0.15</v>
      </c>
      <c r="H15" s="10"/>
      <c r="I15" s="11"/>
      <c r="J15" s="35">
        <v>4.8000000000000001E-2</v>
      </c>
      <c r="K15" s="36">
        <v>0.10199999999999999</v>
      </c>
      <c r="M15" s="63"/>
    </row>
    <row r="16" spans="1:13" x14ac:dyDescent="0.25">
      <c r="A16" s="68" t="s">
        <v>10</v>
      </c>
      <c r="B16" s="47">
        <f t="shared" si="0"/>
        <v>98122</v>
      </c>
      <c r="C16" s="48">
        <v>0</v>
      </c>
      <c r="D16" s="19">
        <v>0</v>
      </c>
      <c r="E16" s="55">
        <v>31346</v>
      </c>
      <c r="F16" s="56">
        <v>66776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178891</v>
      </c>
      <c r="C18" s="32">
        <f>C19+C20</f>
        <v>0</v>
      </c>
      <c r="D18" s="33">
        <f>D19+D20</f>
        <v>0</v>
      </c>
      <c r="E18" s="33">
        <f>E19+E20</f>
        <v>11608</v>
      </c>
      <c r="F18" s="34">
        <f>F19+F20</f>
        <v>167283</v>
      </c>
      <c r="G18" s="13">
        <f>SUM(H18:K18)</f>
        <v>6.0000000000000001E-3</v>
      </c>
      <c r="H18" s="10"/>
      <c r="I18" s="11"/>
      <c r="J18" s="35"/>
      <c r="K18" s="36">
        <v>6.0000000000000001E-3</v>
      </c>
      <c r="M18" s="63"/>
    </row>
    <row r="19" spans="1:13" x14ac:dyDescent="0.25">
      <c r="A19" s="68" t="s">
        <v>10</v>
      </c>
      <c r="B19" s="47">
        <f t="shared" si="0"/>
        <v>87729</v>
      </c>
      <c r="C19" s="48">
        <v>0</v>
      </c>
      <c r="D19" s="38">
        <v>0</v>
      </c>
      <c r="E19" s="55">
        <v>11608</v>
      </c>
      <c r="F19" s="56">
        <v>76121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91162</v>
      </c>
      <c r="C20" s="50">
        <v>0</v>
      </c>
      <c r="D20" s="27">
        <v>0</v>
      </c>
      <c r="E20" s="55">
        <v>0</v>
      </c>
      <c r="F20" s="57">
        <v>91162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308647</v>
      </c>
      <c r="C21" s="51"/>
      <c r="D21" s="33"/>
      <c r="E21" s="33">
        <f>E22+E23</f>
        <v>308647</v>
      </c>
      <c r="F21" s="34">
        <f>F22+F23</f>
        <v>0</v>
      </c>
      <c r="G21" s="13">
        <f>SUM(H21:K21)</f>
        <v>1.4E-2</v>
      </c>
      <c r="H21" s="10"/>
      <c r="I21" s="11"/>
      <c r="J21" s="35">
        <v>1.4E-2</v>
      </c>
      <c r="K21" s="36"/>
      <c r="M21" s="63"/>
    </row>
    <row r="22" spans="1:13" x14ac:dyDescent="0.25">
      <c r="A22" s="68" t="s">
        <v>10</v>
      </c>
      <c r="B22" s="18">
        <f t="shared" si="0"/>
        <v>308647</v>
      </c>
      <c r="C22" s="37">
        <v>0</v>
      </c>
      <c r="D22" s="19">
        <v>0</v>
      </c>
      <c r="E22" s="55">
        <v>308647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426878</v>
      </c>
      <c r="C24" s="52"/>
      <c r="D24" s="35"/>
      <c r="E24" s="33">
        <f>E25+E26</f>
        <v>426878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426878</v>
      </c>
      <c r="C25" s="37">
        <v>0</v>
      </c>
      <c r="D25" s="19">
        <v>0</v>
      </c>
      <c r="E25" s="55">
        <v>426878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M31"/>
  <sheetViews>
    <sheetView workbookViewId="0">
      <selection activeCell="B30" sqref="B30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3" ht="15" customHeight="1" x14ac:dyDescent="0.25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3" ht="15.75" thickBot="1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3" ht="15.75" customHeight="1" thickBot="1" x14ac:dyDescent="0.3">
      <c r="A4" s="97" t="s">
        <v>1</v>
      </c>
      <c r="B4" s="99" t="s">
        <v>2</v>
      </c>
      <c r="C4" s="100"/>
      <c r="D4" s="100"/>
      <c r="E4" s="100"/>
      <c r="F4" s="101"/>
      <c r="G4" s="99" t="s">
        <v>3</v>
      </c>
      <c r="H4" s="100"/>
      <c r="I4" s="100"/>
      <c r="J4" s="100"/>
      <c r="K4" s="101"/>
    </row>
    <row r="5" spans="1:13" ht="15.75" thickBot="1" x14ac:dyDescent="0.3">
      <c r="A5" s="98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3" x14ac:dyDescent="0.25">
      <c r="A6" s="69" t="s">
        <v>9</v>
      </c>
      <c r="B6" s="9">
        <f t="shared" ref="B6:B26" si="0">C6+D6+E6+F6</f>
        <v>180711689</v>
      </c>
      <c r="C6" s="10">
        <f>C7+C8</f>
        <v>2754587</v>
      </c>
      <c r="D6" s="11">
        <f>D7+D8</f>
        <v>546181</v>
      </c>
      <c r="E6" s="11">
        <f>E7+E8</f>
        <v>73957216</v>
      </c>
      <c r="F6" s="12">
        <f>F7+F8</f>
        <v>103453705</v>
      </c>
      <c r="G6" s="13">
        <f>SUM(H6:K6)</f>
        <v>22.497112999999999</v>
      </c>
      <c r="H6" s="14">
        <v>0.38900000000000001</v>
      </c>
      <c r="I6" s="15"/>
      <c r="J6" s="16">
        <v>18.146436999999999</v>
      </c>
      <c r="K6" s="70">
        <v>3.9616759999999998</v>
      </c>
      <c r="M6" s="63"/>
    </row>
    <row r="7" spans="1:13" x14ac:dyDescent="0.25">
      <c r="A7" s="68" t="s">
        <v>10</v>
      </c>
      <c r="B7" s="18">
        <f t="shared" si="0"/>
        <v>94993742</v>
      </c>
      <c r="C7" s="58">
        <f>2715849+38738</f>
        <v>2754587</v>
      </c>
      <c r="D7" s="59">
        <v>546181</v>
      </c>
      <c r="E7" s="59">
        <f>63960269+534409</f>
        <v>64494678</v>
      </c>
      <c r="F7" s="64">
        <f>26901231+297065</f>
        <v>27198296</v>
      </c>
      <c r="G7" s="20"/>
      <c r="H7" s="21"/>
      <c r="I7" s="22"/>
      <c r="J7" s="23"/>
      <c r="K7" s="24"/>
    </row>
    <row r="8" spans="1:13" ht="15.75" thickBot="1" x14ac:dyDescent="0.3">
      <c r="A8" s="68" t="s">
        <v>11</v>
      </c>
      <c r="B8" s="25">
        <f t="shared" si="0"/>
        <v>85717947</v>
      </c>
      <c r="C8" s="60">
        <v>0</v>
      </c>
      <c r="D8" s="61">
        <v>0</v>
      </c>
      <c r="E8" s="62">
        <f>9462538</f>
        <v>9462538</v>
      </c>
      <c r="F8" s="65">
        <f>74231355+2024054</f>
        <v>76255409</v>
      </c>
      <c r="G8" s="20"/>
      <c r="H8" s="28"/>
      <c r="I8" s="29"/>
      <c r="J8" s="29"/>
      <c r="K8" s="30"/>
    </row>
    <row r="9" spans="1:13" x14ac:dyDescent="0.25">
      <c r="A9" s="69" t="s">
        <v>12</v>
      </c>
      <c r="B9" s="31">
        <f t="shared" si="0"/>
        <v>20152293</v>
      </c>
      <c r="C9" s="32">
        <f>C10+C11</f>
        <v>0</v>
      </c>
      <c r="D9" s="33">
        <f>D10+D11</f>
        <v>0</v>
      </c>
      <c r="E9" s="33">
        <f>E10+E11</f>
        <v>8711480</v>
      </c>
      <c r="F9" s="34">
        <f>F10+F11</f>
        <v>11440813</v>
      </c>
      <c r="G9" s="13">
        <f>SUM(H9:K9)</f>
        <v>3.8494669999999998</v>
      </c>
      <c r="H9" s="10"/>
      <c r="I9" s="11"/>
      <c r="J9" s="66">
        <v>3.6464669999999999</v>
      </c>
      <c r="K9" s="36">
        <v>0.20300000000000001</v>
      </c>
      <c r="M9" s="63"/>
    </row>
    <row r="10" spans="1:13" x14ac:dyDescent="0.25">
      <c r="A10" s="68" t="s">
        <v>10</v>
      </c>
      <c r="B10" s="18">
        <f t="shared" si="0"/>
        <v>9610317</v>
      </c>
      <c r="C10" s="37">
        <v>0</v>
      </c>
      <c r="D10" s="19">
        <v>0</v>
      </c>
      <c r="E10" s="55">
        <v>7540884</v>
      </c>
      <c r="F10" s="56">
        <v>2069433</v>
      </c>
      <c r="G10" s="40"/>
      <c r="H10" s="21"/>
      <c r="I10" s="22"/>
      <c r="J10" s="22"/>
      <c r="K10" s="24"/>
    </row>
    <row r="11" spans="1:13" ht="15.75" thickBot="1" x14ac:dyDescent="0.3">
      <c r="A11" s="68" t="s">
        <v>11</v>
      </c>
      <c r="B11" s="25">
        <f t="shared" si="0"/>
        <v>10541976</v>
      </c>
      <c r="C11" s="26">
        <v>0</v>
      </c>
      <c r="D11" s="27">
        <v>0</v>
      </c>
      <c r="E11" s="55">
        <v>1170596</v>
      </c>
      <c r="F11" s="56">
        <v>9371380</v>
      </c>
      <c r="G11" s="41"/>
      <c r="H11" s="28"/>
      <c r="I11" s="29"/>
      <c r="J11" s="29"/>
      <c r="K11" s="30"/>
    </row>
    <row r="12" spans="1:13" x14ac:dyDescent="0.25">
      <c r="A12" s="69" t="s">
        <v>13</v>
      </c>
      <c r="B12" s="9">
        <f t="shared" si="0"/>
        <v>90150</v>
      </c>
      <c r="C12" s="10"/>
      <c r="D12" s="11"/>
      <c r="E12" s="33">
        <f>E13+E14</f>
        <v>76427</v>
      </c>
      <c r="F12" s="34">
        <f>F13+F14</f>
        <v>13723</v>
      </c>
      <c r="G12" s="13">
        <f>SUM(H12:K12)</f>
        <v>0.112</v>
      </c>
      <c r="H12" s="10"/>
      <c r="I12" s="11"/>
      <c r="J12" s="35">
        <v>0.112</v>
      </c>
      <c r="K12" s="36"/>
      <c r="M12" s="63"/>
    </row>
    <row r="13" spans="1:13" x14ac:dyDescent="0.25">
      <c r="A13" s="68" t="s">
        <v>10</v>
      </c>
      <c r="B13" s="18">
        <f t="shared" si="0"/>
        <v>76427</v>
      </c>
      <c r="C13" s="37">
        <v>0</v>
      </c>
      <c r="D13" s="42">
        <v>0</v>
      </c>
      <c r="E13" s="43">
        <v>76427</v>
      </c>
      <c r="F13" s="44">
        <v>0</v>
      </c>
      <c r="G13" s="40"/>
      <c r="H13" s="21"/>
      <c r="I13" s="22"/>
      <c r="J13" s="22"/>
      <c r="K13" s="24"/>
    </row>
    <row r="14" spans="1:13" ht="15.75" thickBot="1" x14ac:dyDescent="0.3">
      <c r="A14" s="68" t="s">
        <v>11</v>
      </c>
      <c r="B14" s="25">
        <f t="shared" si="0"/>
        <v>13723</v>
      </c>
      <c r="C14" s="26">
        <v>0</v>
      </c>
      <c r="D14" s="45">
        <v>0</v>
      </c>
      <c r="E14" s="45">
        <v>0</v>
      </c>
      <c r="F14" s="57">
        <v>13723</v>
      </c>
      <c r="G14" s="41"/>
      <c r="H14" s="28"/>
      <c r="I14" s="29"/>
      <c r="J14" s="29"/>
      <c r="K14" s="30"/>
    </row>
    <row r="15" spans="1:13" x14ac:dyDescent="0.25">
      <c r="A15" s="69" t="s">
        <v>14</v>
      </c>
      <c r="B15" s="31">
        <f t="shared" si="0"/>
        <v>96268</v>
      </c>
      <c r="C15" s="32">
        <f>C16+C17</f>
        <v>0</v>
      </c>
      <c r="D15" s="33">
        <f>D16+D17</f>
        <v>0</v>
      </c>
      <c r="E15" s="33">
        <f>E16+E17</f>
        <v>30859</v>
      </c>
      <c r="F15" s="34">
        <f>F16+F17</f>
        <v>65409</v>
      </c>
      <c r="G15" s="13">
        <f>SUM(H15:K15)</f>
        <v>0.151</v>
      </c>
      <c r="H15" s="10"/>
      <c r="I15" s="11"/>
      <c r="J15" s="35">
        <v>4.8000000000000001E-2</v>
      </c>
      <c r="K15" s="36">
        <v>0.10299999999999999</v>
      </c>
      <c r="M15" s="63"/>
    </row>
    <row r="16" spans="1:13" x14ac:dyDescent="0.25">
      <c r="A16" s="68" t="s">
        <v>10</v>
      </c>
      <c r="B16" s="47">
        <f t="shared" si="0"/>
        <v>96268</v>
      </c>
      <c r="C16" s="48">
        <v>0</v>
      </c>
      <c r="D16" s="19">
        <v>0</v>
      </c>
      <c r="E16" s="55">
        <v>30859</v>
      </c>
      <c r="F16" s="56">
        <v>65409</v>
      </c>
      <c r="G16" s="40"/>
      <c r="H16" s="21"/>
      <c r="I16" s="22"/>
      <c r="J16" s="22"/>
      <c r="K16" s="24"/>
    </row>
    <row r="17" spans="1:13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3" x14ac:dyDescent="0.25">
      <c r="A18" s="69" t="s">
        <v>15</v>
      </c>
      <c r="B18" s="31">
        <f t="shared" si="0"/>
        <v>299742</v>
      </c>
      <c r="C18" s="32">
        <f>C19+C20</f>
        <v>0</v>
      </c>
      <c r="D18" s="33">
        <f>D19+D20</f>
        <v>0</v>
      </c>
      <c r="E18" s="33">
        <f>E19+E20</f>
        <v>27377</v>
      </c>
      <c r="F18" s="34">
        <f>F19+F20</f>
        <v>272365</v>
      </c>
      <c r="G18" s="13">
        <f>SUM(H18:K18)</f>
        <v>5.0000000000000001E-3</v>
      </c>
      <c r="H18" s="10"/>
      <c r="I18" s="11"/>
      <c r="J18" s="35"/>
      <c r="K18" s="36">
        <v>5.0000000000000001E-3</v>
      </c>
      <c r="M18" s="63"/>
    </row>
    <row r="19" spans="1:13" x14ac:dyDescent="0.25">
      <c r="A19" s="68" t="s">
        <v>10</v>
      </c>
      <c r="B19" s="47">
        <f t="shared" si="0"/>
        <v>125627</v>
      </c>
      <c r="C19" s="48">
        <v>0</v>
      </c>
      <c r="D19" s="38">
        <v>0</v>
      </c>
      <c r="E19" s="55">
        <v>27377</v>
      </c>
      <c r="F19" s="56">
        <v>98250</v>
      </c>
      <c r="G19" s="40"/>
      <c r="H19" s="21"/>
      <c r="I19" s="22"/>
      <c r="J19" s="22"/>
      <c r="K19" s="24"/>
    </row>
    <row r="20" spans="1:13" ht="15.75" thickBot="1" x14ac:dyDescent="0.3">
      <c r="A20" s="68" t="s">
        <v>11</v>
      </c>
      <c r="B20" s="49">
        <f t="shared" si="0"/>
        <v>174115</v>
      </c>
      <c r="C20" s="50">
        <v>0</v>
      </c>
      <c r="D20" s="27">
        <v>0</v>
      </c>
      <c r="E20" s="55">
        <v>0</v>
      </c>
      <c r="F20" s="57">
        <v>174115</v>
      </c>
      <c r="G20" s="41"/>
      <c r="H20" s="28"/>
      <c r="I20" s="29"/>
      <c r="J20" s="29"/>
      <c r="K20" s="30"/>
    </row>
    <row r="21" spans="1:13" x14ac:dyDescent="0.25">
      <c r="A21" s="69" t="s">
        <v>16</v>
      </c>
      <c r="B21" s="9">
        <f t="shared" si="0"/>
        <v>324013</v>
      </c>
      <c r="C21" s="51"/>
      <c r="D21" s="33"/>
      <c r="E21" s="33">
        <f>E22+E23</f>
        <v>324013</v>
      </c>
      <c r="F21" s="34">
        <f>F22+F23</f>
        <v>0</v>
      </c>
      <c r="G21" s="13">
        <f>SUM(H21:K21)</f>
        <v>1.2999999999999999E-2</v>
      </c>
      <c r="H21" s="10"/>
      <c r="I21" s="11"/>
      <c r="J21" s="35">
        <v>1.2999999999999999E-2</v>
      </c>
      <c r="K21" s="36"/>
      <c r="M21" s="63"/>
    </row>
    <row r="22" spans="1:13" x14ac:dyDescent="0.25">
      <c r="A22" s="68" t="s">
        <v>10</v>
      </c>
      <c r="B22" s="18">
        <f t="shared" si="0"/>
        <v>324013</v>
      </c>
      <c r="C22" s="37">
        <v>0</v>
      </c>
      <c r="D22" s="19">
        <v>0</v>
      </c>
      <c r="E22" s="55">
        <v>324013</v>
      </c>
      <c r="F22" s="39">
        <v>0</v>
      </c>
      <c r="G22" s="40"/>
      <c r="H22" s="21"/>
      <c r="I22" s="22"/>
      <c r="J22" s="22"/>
      <c r="K22" s="24"/>
    </row>
    <row r="23" spans="1:13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3" x14ac:dyDescent="0.25">
      <c r="A24" s="67" t="s">
        <v>17</v>
      </c>
      <c r="B24" s="9">
        <f t="shared" si="0"/>
        <v>479405</v>
      </c>
      <c r="C24" s="52"/>
      <c r="D24" s="35"/>
      <c r="E24" s="33">
        <f>E25+E26</f>
        <v>479405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  <c r="M24" s="63"/>
    </row>
    <row r="25" spans="1:13" x14ac:dyDescent="0.25">
      <c r="A25" s="71" t="s">
        <v>10</v>
      </c>
      <c r="B25" s="18">
        <f t="shared" si="0"/>
        <v>479405</v>
      </c>
      <c r="C25" s="37">
        <v>0</v>
      </c>
      <c r="D25" s="19">
        <v>0</v>
      </c>
      <c r="E25" s="55">
        <v>479405</v>
      </c>
      <c r="F25" s="39">
        <v>0</v>
      </c>
      <c r="G25" s="40"/>
      <c r="H25" s="21"/>
      <c r="I25" s="22"/>
      <c r="J25" s="22"/>
      <c r="K25" s="24"/>
    </row>
    <row r="26" spans="1:13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3" x14ac:dyDescent="0.25">
      <c r="B28" s="63"/>
    </row>
    <row r="29" spans="1:13" x14ac:dyDescent="0.25">
      <c r="B29" s="63"/>
      <c r="C29" s="63"/>
    </row>
    <row r="30" spans="1:13" x14ac:dyDescent="0.25">
      <c r="B30" s="63"/>
    </row>
    <row r="31" spans="1:13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cp:lastPrinted>2022-05-06T12:26:33Z</cp:lastPrinted>
  <dcterms:created xsi:type="dcterms:W3CDTF">2020-02-10T10:59:05Z</dcterms:created>
  <dcterms:modified xsi:type="dcterms:W3CDTF">2023-01-18T07:36:35Z</dcterms:modified>
</cp:coreProperties>
</file>